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8"/>
  </bookViews>
  <sheets>
    <sheet name="№2!" sheetId="1" r:id="rId1"/>
    <sheet name="Прил.№3 НВВ" sheetId="2" r:id="rId2"/>
    <sheet name="C1" sheetId="3" r:id="rId3"/>
    <sheet name="С2, С3, С4" sheetId="4" r:id="rId4"/>
    <sheet name="Р1" sheetId="5" r:id="rId5"/>
    <sheet name="ТУ" sheetId="6" r:id="rId6"/>
    <sheet name="Проверка ТУ" sheetId="7" r:id="rId7"/>
    <sheet name="Факт.действ." sheetId="8" r:id="rId8"/>
    <sheet name="распред" sheetId="9" r:id="rId9"/>
  </sheets>
  <externalReferences>
    <externalReference r:id="rId12"/>
  </externalReferences>
  <definedNames>
    <definedName name="_xlnm.Print_Area" localSheetId="2">'C1'!$A$1:$G$21</definedName>
    <definedName name="_xlnm.Print_Area" localSheetId="0">'№2!'!$A$1:$F$44</definedName>
    <definedName name="_xlnm.Print_Area" localSheetId="6">'Проверка ТУ'!$A$1:$S$26</definedName>
    <definedName name="_xlnm.Print_Area" localSheetId="3">'С2, С3, С4'!$A$1:$D$23</definedName>
    <definedName name="_xlnm.Print_Area" localSheetId="5">'ТУ'!$A$1:$S$26</definedName>
    <definedName name="_xlnm.Print_Area" localSheetId="7">'Факт.действ.'!$A$1:$R$30</definedName>
  </definedNames>
  <calcPr fullCalcOnLoad="1"/>
</workbook>
</file>

<file path=xl/sharedStrings.xml><?xml version="1.0" encoding="utf-8"?>
<sst xmlns="http://schemas.openxmlformats.org/spreadsheetml/2006/main" count="347" uniqueCount="178">
  <si>
    <t>Приложение № 2</t>
  </si>
  <si>
    <t>Стоимость мероприятий,</t>
  </si>
  <si>
    <t xml:space="preserve">осуществляемых при технологическом присоединении </t>
  </si>
  <si>
    <t>единицы мощности (1 кВт) руб./кВт</t>
  </si>
  <si>
    <t>№ п/п</t>
  </si>
  <si>
    <t>Наименование мероприятий</t>
  </si>
  <si>
    <t>Разбивка НВВ согласно приложению №1 по каждому мероприятию (руб.)</t>
  </si>
  <si>
    <t>Объем максимальной мощности (кВт)</t>
  </si>
  <si>
    <t>Ставки для расчета платы по каждому мероприятию (руб./кВт)</t>
  </si>
  <si>
    <t>1.</t>
  </si>
  <si>
    <t>2.</t>
  </si>
  <si>
    <t>3.</t>
  </si>
  <si>
    <t>3.1.</t>
  </si>
  <si>
    <t>Подготовка и выдача сетевой организацией технических условий Заявителю (ТУ)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</si>
  <si>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</si>
  <si>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</t>
  </si>
  <si>
    <t>строительство воздушных линий</t>
  </si>
  <si>
    <t>Уровень напряжения (кВ)</t>
  </si>
  <si>
    <t xml:space="preserve">Строительство одноцепной ВЛ на деревянных опорах с применением самонесущего изолированного провода (сечение СИП-4 4х35) </t>
  </si>
  <si>
    <t>Строительство одноцепной ВЛ на железобетонных опорах с применением самонесущего изолированного провода (сечение СИП-2 3х95+1х95)</t>
  </si>
  <si>
    <t>Строительство одноцепной ВЛ на железобетонных опорах с применением самонесущего изолированного провода (сечение СИП-3 1х50)</t>
  </si>
  <si>
    <t>Строительство одноцепной ВЛ на деревянных опорах с применением голого провода (сечение АС-50)</t>
  </si>
  <si>
    <t>6 (10)</t>
  </si>
  <si>
    <t>3.1.1.</t>
  </si>
  <si>
    <t>3.1.2.</t>
  </si>
  <si>
    <t>3.1.3.</t>
  </si>
  <si>
    <t>3.1.4.</t>
  </si>
  <si>
    <t>3.1.5.</t>
  </si>
  <si>
    <t>3.2.</t>
  </si>
  <si>
    <t>строительство кабельных линий</t>
  </si>
  <si>
    <t>3.2.1.</t>
  </si>
  <si>
    <t>3.2.3.</t>
  </si>
  <si>
    <t>3.2.4.</t>
  </si>
  <si>
    <t>3.3.</t>
  </si>
  <si>
    <t>строительство пунктов секционирования</t>
  </si>
  <si>
    <t>3.4.</t>
  </si>
  <si>
    <t xml:space="preserve">4. </t>
  </si>
  <si>
    <t>Проверка сетевой организацией выполнения Заявителем ТУ</t>
  </si>
  <si>
    <t>5.</t>
  </si>
  <si>
    <t>Участие в осмотре должностным лицом Ростехнадзора присоединяемых устройств Заявителя</t>
  </si>
  <si>
    <t>6.</t>
  </si>
  <si>
    <t>Фактические действия по присоединению и обеспечению работы устройств в электрической сети</t>
  </si>
  <si>
    <t>Приложение №3</t>
  </si>
  <si>
    <t>Расчет</t>
  </si>
  <si>
    <t>необходимой валовой выручки сетевой организации</t>
  </si>
  <si>
    <t>на технологическое присоединение</t>
  </si>
  <si>
    <t>тыс.руб.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</si>
  <si>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</si>
  <si>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</si>
  <si>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</si>
  <si>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</si>
  <si>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</si>
  <si>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</si>
  <si>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</si>
  <si>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</si>
  <si>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</si>
  <si>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</si>
  <si>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</si>
  <si>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1.5.1.</t>
  </si>
  <si>
    <t>работы и услуги производственного характера</t>
  </si>
  <si>
    <t>1.5.2.</t>
  </si>
  <si>
    <t>налоги и сборы, уменьшающие налогооблагаемую базу на прибыль организации, всего</t>
  </si>
  <si>
    <t>1.5.3.</t>
  </si>
  <si>
    <t>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</si>
  <si>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</si>
  <si>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</si>
  <si>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</si>
  <si>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</si>
  <si>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</si>
  <si>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</si>
  <si>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</si>
  <si>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</si>
  <si>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</si>
  <si>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</si>
  <si>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</si>
  <si>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</si>
  <si>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расходы на услуги банков</t>
  </si>
  <si>
    <t>% за пользование кредитом</t>
  </si>
  <si>
    <t>прочие обоснованные расходы</t>
  </si>
  <si>
    <t>денежные выплаты социального характера ( по Коллективному договору)</t>
  </si>
  <si>
    <t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</si>
  <si>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доходы/экономия средств</t>
  </si>
  <si>
    <t>4.</t>
  </si>
  <si>
    <t>Необходимая валовая выручка (сумма п. 1-3)</t>
  </si>
  <si>
    <t>УТВЕРЖДАЮ</t>
  </si>
  <si>
    <t>Директор МУП "Жилкомсервис"</t>
  </si>
  <si>
    <t>Должность (специальность, профессия), класс (категория) квалификация</t>
  </si>
  <si>
    <t>Разряд</t>
  </si>
  <si>
    <t>К-во  ед.</t>
  </si>
  <si>
    <t>Тариф. коэф.</t>
  </si>
  <si>
    <t>Месяч. тариф. ставка (руб.)</t>
  </si>
  <si>
    <t xml:space="preserve">       Надбавки  (доплаты),руб.  </t>
  </si>
  <si>
    <t>Зарплата в месяц, руб.</t>
  </si>
  <si>
    <t>ЧТС, руб. час</t>
  </si>
  <si>
    <t>ФОТ, руб.</t>
  </si>
  <si>
    <t xml:space="preserve"> вредн. условия</t>
  </si>
  <si>
    <t>ночные 40% (руб.)</t>
  </si>
  <si>
    <t>Премия</t>
  </si>
  <si>
    <t>PP 60% (руб.)</t>
  </si>
  <si>
    <t>%</t>
  </si>
  <si>
    <t>сумма (руб.)</t>
  </si>
  <si>
    <t xml:space="preserve">% </t>
  </si>
  <si>
    <t>сумма (руб)</t>
  </si>
  <si>
    <t>Инженер-энергетик</t>
  </si>
  <si>
    <t>Начальник ТОКЭ</t>
  </si>
  <si>
    <t>Наименование статей затрат</t>
  </si>
  <si>
    <t>Стоимость, рублей</t>
  </si>
  <si>
    <t>Фонд оплаты труда</t>
  </si>
  <si>
    <t>Итого</t>
  </si>
  <si>
    <t>Страховые взносы - 30%</t>
  </si>
  <si>
    <t>Отчисления на социальное страхование - 0,2 %</t>
  </si>
  <si>
    <t>Общеэксплуатационные расходы</t>
  </si>
  <si>
    <t>Всего расходов</t>
  </si>
  <si>
    <t>НДС 18%</t>
  </si>
  <si>
    <t>Итого с НДС</t>
  </si>
  <si>
    <t>Н.Л. Санарова</t>
  </si>
  <si>
    <t>Нормативная трудоемкость, час</t>
  </si>
  <si>
    <t xml:space="preserve">население </t>
  </si>
  <si>
    <t>4.1.</t>
  </si>
  <si>
    <t>4.2.</t>
  </si>
  <si>
    <t>6.1.</t>
  </si>
  <si>
    <t>6.2.</t>
  </si>
  <si>
    <t>Рентабельность 5%</t>
  </si>
  <si>
    <t>Итого с рентабельностью 5%</t>
  </si>
  <si>
    <t>Строительство одноцепной ВЛ на железобетонных опорах с применением голого провода (сечение АС-95)</t>
  </si>
  <si>
    <t>Прокладка одной КЛ в траншее сечением 120-150 мм2 (ААБлУ)</t>
  </si>
  <si>
    <t>Прокладка двух КЛ в траншее сечением 50-95 мм2 (ААБлУ)</t>
  </si>
  <si>
    <t>Прокладка двух КЛ в траншее сечением 120-150 мм2 (ААБлУ)</t>
  </si>
  <si>
    <t>Прокладка одной КЛ в траншее сечением 50-95 мм2 (ААБлУ)</t>
  </si>
  <si>
    <t>строительство комплексных трансформаторных подстанций (КТП)</t>
  </si>
  <si>
    <t>Категория потребителей</t>
  </si>
  <si>
    <t>Подготовка и выдача сетевой организацией технических условий Заявителю (ТУ), руб./кВт</t>
  </si>
  <si>
    <t>Проверка сетевой организацией выполнения Заявителем ТУ, руб./кВт</t>
  </si>
  <si>
    <t>Фактические действия по присоединению и обеспечению работы устройств в электрической сети, руб./кВт</t>
  </si>
  <si>
    <t>Расчет стандартизированной тарифной ставки С1</t>
  </si>
  <si>
    <t xml:space="preserve"> на покрытие расходов на технологическое присоединение, за исключением расходов на мероприятия по разработке проектной документации согласно обязательствам, предусмотренным техническими условиями и выполнению технических условий,  (руб./кВт), без НДС</t>
  </si>
  <si>
    <t xml:space="preserve"> за технологическое присоединение к распределительным электрическим сетям на уровне напряжения ниже 35 кВ и максимальной мощности менее 8900 кВт на осуществление организационных мероприятий, за исключением мероприятий по разработке проектной документации согласно обязательствам, предусмотренным техническими условиями и выполнению технических условий,  (руб./кВт), без НДС</t>
  </si>
  <si>
    <t>Расчет ставки платы за единицу максимальной мощности Р1</t>
  </si>
  <si>
    <t>Начальник ПЭО</t>
  </si>
  <si>
    <t>прочие потребители</t>
  </si>
  <si>
    <t>прочие потребители (без учета НДС)</t>
  </si>
  <si>
    <t>население (с НДС)</t>
  </si>
  <si>
    <t xml:space="preserve">Стандартизированная тарифная ставка, руб./кВт            </t>
  </si>
  <si>
    <t>включить транспортные расходы</t>
  </si>
  <si>
    <t>Расчет стандартизированных тарифных ставок С2, С3, С4</t>
  </si>
  <si>
    <t xml:space="preserve"> на покрытие расходов на технологическое присоединение к распределительным электрическим сетям по мероприятиям по разработке проектной документации согласно обязательствам, предусмотренным техническими условиями и выполнению технических условий, в ценах 2001г.</t>
  </si>
  <si>
    <t>Стандартизированная тарифная ставка</t>
  </si>
  <si>
    <t>Индекс изменения сметной стоимости на       III кв. 2013 г</t>
  </si>
  <si>
    <t>Стандартизированные тарифные ставки на покрытие расходов на строительство воздушных линий электропередачи в расчете на 1 км. линий,  (руб./км), без НДС   (С2)</t>
  </si>
  <si>
    <t>Стандартизированные тарифные ставки на покрытие расходов на строительство кабельных линий электропередачи в расчете на 1 км. линий,  (руб./км), без НДС  (С3)</t>
  </si>
  <si>
    <t>2.1.</t>
  </si>
  <si>
    <t>2.2.</t>
  </si>
  <si>
    <t>2.3.</t>
  </si>
  <si>
    <t>2.4.</t>
  </si>
  <si>
    <t>Стандартизированные тарифные ставки на покрытие расходов на строительство подстанций, в расчете на 1 кВт,  (руб./кВт), без НДС  (С4)</t>
  </si>
  <si>
    <t>Строительство комплексных трансформаторных подстанций (2 КТП 400-630 кВА)</t>
  </si>
  <si>
    <t>________________ О.Н. Наумчик</t>
  </si>
  <si>
    <t>Подготовка и выдача сетевой организацией технических условий Заявителю (ТУ)                   на 2017 год</t>
  </si>
  <si>
    <t>Выписка из штатного расписания на 2017 год</t>
  </si>
  <si>
    <t>"_____" _______________ 2016г.</t>
  </si>
  <si>
    <t>_______________ О.Н. Наумчик</t>
  </si>
  <si>
    <t>* - планируемые объем мощности и количество присоединений взяты по ожидаемым присоединениям 2016 года</t>
  </si>
  <si>
    <t>Количество планируемых технологических присоеднений на 2016 г., шт. *</t>
  </si>
  <si>
    <t>Планируемый  объем присоединяемой мощности на 2016 г. (кВт) *</t>
  </si>
  <si>
    <t>Проверка сетевой организацией выполнения Заявителем технических условий (ТУ)               на 2017 год</t>
  </si>
  <si>
    <t>Фактические действия по присоединению и обеспечению работы Устройств в электрической сети на 2017 год</t>
  </si>
  <si>
    <t>Надбавка</t>
  </si>
  <si>
    <t>Транспортные расходы</t>
  </si>
  <si>
    <t>Транспортные расходы (выезд на объект)</t>
  </si>
  <si>
    <t>Ожидаемые данные за 2016 год</t>
  </si>
  <si>
    <t>Плановые показатели на 2017 год</t>
  </si>
  <si>
    <t>1.7.</t>
  </si>
  <si>
    <t>1.7.1.</t>
  </si>
  <si>
    <t>1.7.2.</t>
  </si>
  <si>
    <t>1.7.3.</t>
  </si>
  <si>
    <t>1.7.4.</t>
  </si>
  <si>
    <t>тариф</t>
  </si>
  <si>
    <t>мощность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</si>
</sst>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_)"/>
    <numFmt numFmtId="166" formatCode="0_)"/>
    <numFmt numFmtId="167" formatCode="0.0_)"/>
    <numFmt numFmtId="168" formatCode="0.000"/>
    <numFmt numFmtId="169" formatCode="#,##0.0"/>
    <numFmt numFmtId="170" formatCode="0.000000"/>
    <numFmt numFmtId="171" formatCode="0.00000"/>
    <numFmt numFmtId="172" formatCode="0.0000"/>
    <numFmt numFmtId="173" formatCode="0.0"/>
    <numFmt numFmtId="174" formatCode="0.0000000"/>
    <numFmt numFmtId="175" formatCode="0.00000000"/>
    <numFmt numFmtId="176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0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rgb="FFC0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49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0" fontId="3" fillId="0" borderId="0" xfId="52" applyFont="1" applyAlignment="1">
      <alignment vertical="center"/>
      <protection/>
    </xf>
    <xf numFmtId="0" fontId="4" fillId="0" borderId="0" xfId="52" applyFont="1" applyAlignment="1">
      <alignment/>
      <protection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left" vertical="center"/>
      <protection/>
    </xf>
    <xf numFmtId="4" fontId="3" fillId="0" borderId="10" xfId="52" applyNumberFormat="1" applyFont="1" applyBorder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4" fontId="3" fillId="0" borderId="0" xfId="52" applyNumberFormat="1" applyFont="1" applyFill="1" applyBorder="1" applyAlignment="1">
      <alignment horizontal="center" vertical="center"/>
      <protection/>
    </xf>
    <xf numFmtId="0" fontId="2" fillId="0" borderId="0" xfId="52" applyFill="1" applyBorder="1">
      <alignment/>
      <protection/>
    </xf>
    <xf numFmtId="0" fontId="3" fillId="0" borderId="0" xfId="52" applyFont="1" applyFill="1" applyBorder="1">
      <alignment/>
      <protection/>
    </xf>
    <xf numFmtId="0" fontId="4" fillId="0" borderId="10" xfId="52" applyFont="1" applyBorder="1" applyAlignment="1">
      <alignment horizontal="left" vertical="center"/>
      <protection/>
    </xf>
    <xf numFmtId="4" fontId="4" fillId="0" borderId="10" xfId="52" applyNumberFormat="1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4" fontId="3" fillId="0" borderId="0" xfId="52" applyNumberFormat="1" applyFont="1" applyBorder="1" applyAlignment="1">
      <alignment horizontal="center" vertical="center"/>
      <protection/>
    </xf>
    <xf numFmtId="0" fontId="3" fillId="0" borderId="0" xfId="52" applyFont="1" applyAlignment="1">
      <alignment horizontal="right" vertical="center"/>
      <protection/>
    </xf>
    <xf numFmtId="2" fontId="51" fillId="0" borderId="0" xfId="0" applyNumberFormat="1" applyFont="1" applyAlignment="1">
      <alignment vertical="top"/>
    </xf>
    <xf numFmtId="0" fontId="0" fillId="33" borderId="10" xfId="0" applyFont="1" applyFill="1" applyBorder="1" applyAlignment="1">
      <alignment vertical="top" wrapText="1"/>
    </xf>
    <xf numFmtId="0" fontId="4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2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top"/>
    </xf>
    <xf numFmtId="0" fontId="40" fillId="0" borderId="0" xfId="0" applyFont="1" applyAlignment="1">
      <alignment vertical="center"/>
    </xf>
    <xf numFmtId="4" fontId="40" fillId="0" borderId="10" xfId="0" applyNumberFormat="1" applyFont="1" applyBorder="1" applyAlignment="1">
      <alignment horizontal="center" vertical="center"/>
    </xf>
    <xf numFmtId="0" fontId="24" fillId="0" borderId="0" xfId="52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24" fillId="0" borderId="0" xfId="52" applyFont="1" applyAlignment="1">
      <alignment horizontal="right" vertical="center"/>
      <protection/>
    </xf>
    <xf numFmtId="0" fontId="0" fillId="0" borderId="0" xfId="0" applyAlignment="1">
      <alignment horizontal="right" vertical="top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4" fontId="0" fillId="0" borderId="12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2" fontId="0" fillId="0" borderId="10" xfId="0" applyNumberFormat="1" applyFont="1" applyBorder="1" applyAlignment="1">
      <alignment horizontal="center" vertical="center" wrapText="1"/>
    </xf>
    <xf numFmtId="0" fontId="25" fillId="0" borderId="0" xfId="52" applyFont="1" applyAlignment="1">
      <alignment/>
      <protection/>
    </xf>
    <xf numFmtId="0" fontId="4" fillId="0" borderId="0" xfId="0" applyFont="1" applyAlignment="1">
      <alignment vertical="center"/>
    </xf>
    <xf numFmtId="166" fontId="3" fillId="33" borderId="14" xfId="53" applyNumberFormat="1" applyFont="1" applyFill="1" applyBorder="1" applyAlignment="1" applyProtection="1">
      <alignment horizontal="center" vertical="center" wrapText="1"/>
      <protection locked="0"/>
    </xf>
    <xf numFmtId="169" fontId="3" fillId="33" borderId="14" xfId="53" applyNumberFormat="1" applyFont="1" applyFill="1" applyBorder="1" applyAlignment="1" applyProtection="1">
      <alignment horizontal="center" vertical="center" wrapText="1"/>
      <protection locked="0"/>
    </xf>
    <xf numFmtId="4" fontId="3" fillId="33" borderId="14" xfId="53" applyNumberFormat="1" applyFont="1" applyFill="1" applyBorder="1" applyAlignment="1">
      <alignment horizontal="center" vertical="center" wrapText="1"/>
      <protection/>
    </xf>
    <xf numFmtId="169" fontId="3" fillId="33" borderId="14" xfId="53" applyNumberFormat="1" applyFont="1" applyFill="1" applyBorder="1" applyAlignment="1">
      <alignment horizontal="center" vertical="center" wrapText="1"/>
      <protection/>
    </xf>
    <xf numFmtId="166" fontId="3" fillId="33" borderId="10" xfId="53" applyNumberFormat="1" applyFont="1" applyFill="1" applyBorder="1" applyAlignment="1" applyProtection="1">
      <alignment horizontal="left" vertical="center" wrapText="1"/>
      <protection/>
    </xf>
    <xf numFmtId="3" fontId="3" fillId="33" borderId="10" xfId="53" applyNumberFormat="1" applyFont="1" applyFill="1" applyBorder="1" applyAlignment="1" applyProtection="1">
      <alignment horizontal="center" vertical="center"/>
      <protection/>
    </xf>
    <xf numFmtId="168" fontId="3" fillId="33" borderId="10" xfId="53" applyNumberFormat="1" applyFont="1" applyFill="1" applyBorder="1" applyAlignment="1">
      <alignment horizontal="center" vertical="center" wrapText="1"/>
      <protection/>
    </xf>
    <xf numFmtId="4" fontId="3" fillId="33" borderId="10" xfId="53" applyNumberFormat="1" applyFont="1" applyFill="1" applyBorder="1" applyAlignment="1" applyProtection="1">
      <alignment horizontal="center" vertical="center" wrapText="1"/>
      <protection/>
    </xf>
    <xf numFmtId="169" fontId="3" fillId="33" borderId="10" xfId="53" applyNumberFormat="1" applyFont="1" applyFill="1" applyBorder="1" applyAlignment="1">
      <alignment horizontal="center" vertical="center"/>
      <protection/>
    </xf>
    <xf numFmtId="2" fontId="3" fillId="33" borderId="10" xfId="52" applyNumberFormat="1" applyFont="1" applyFill="1" applyBorder="1" applyAlignment="1">
      <alignment horizontal="center" vertical="center"/>
      <protection/>
    </xf>
    <xf numFmtId="4" fontId="3" fillId="33" borderId="10" xfId="52" applyNumberFormat="1" applyFont="1" applyFill="1" applyBorder="1" applyAlignment="1">
      <alignment horizontal="center" vertical="center"/>
      <protection/>
    </xf>
    <xf numFmtId="3" fontId="3" fillId="33" borderId="15" xfId="53" applyNumberFormat="1" applyFont="1" applyFill="1" applyBorder="1" applyAlignment="1" applyProtection="1">
      <alignment horizontal="center" vertical="center"/>
      <protection/>
    </xf>
    <xf numFmtId="168" fontId="3" fillId="33" borderId="15" xfId="53" applyNumberFormat="1" applyFont="1" applyFill="1" applyBorder="1" applyAlignment="1" applyProtection="1">
      <alignment horizontal="center" vertical="center"/>
      <protection/>
    </xf>
    <xf numFmtId="169" fontId="3" fillId="33" borderId="15" xfId="53" applyNumberFormat="1" applyFont="1" applyFill="1" applyBorder="1" applyAlignment="1">
      <alignment horizontal="center" vertical="center"/>
      <protection/>
    </xf>
    <xf numFmtId="169" fontId="3" fillId="33" borderId="15" xfId="53" applyNumberFormat="1" applyFont="1" applyFill="1" applyBorder="1" applyAlignment="1" applyProtection="1">
      <alignment horizontal="center" vertical="center" wrapText="1"/>
      <protection/>
    </xf>
    <xf numFmtId="3" fontId="3" fillId="33" borderId="15" xfId="53" applyNumberFormat="1" applyFont="1" applyFill="1" applyBorder="1" applyAlignment="1" applyProtection="1">
      <alignment horizontal="center" vertical="center" wrapText="1"/>
      <protection/>
    </xf>
    <xf numFmtId="4" fontId="3" fillId="33" borderId="15" xfId="53" applyNumberFormat="1" applyFont="1" applyFill="1" applyBorder="1" applyAlignment="1" applyProtection="1">
      <alignment horizontal="center" vertical="center" wrapText="1"/>
      <protection/>
    </xf>
    <xf numFmtId="3" fontId="3" fillId="33" borderId="15" xfId="53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top"/>
    </xf>
    <xf numFmtId="173" fontId="3" fillId="0" borderId="0" xfId="52" applyNumberFormat="1" applyFont="1" applyAlignment="1">
      <alignment horizontal="right" vertical="center"/>
      <protection/>
    </xf>
    <xf numFmtId="0" fontId="53" fillId="0" borderId="0" xfId="52" applyFont="1" applyAlignment="1">
      <alignment vertical="center"/>
      <protection/>
    </xf>
    <xf numFmtId="173" fontId="53" fillId="0" borderId="0" xfId="52" applyNumberFormat="1" applyFont="1" applyAlignment="1">
      <alignment horizontal="right" vertical="center"/>
      <protection/>
    </xf>
    <xf numFmtId="0" fontId="3" fillId="0" borderId="0" xfId="52" applyFont="1" applyAlignment="1">
      <alignment horizontal="center" vertical="center"/>
      <protection/>
    </xf>
    <xf numFmtId="2" fontId="3" fillId="0" borderId="0" xfId="52" applyNumberFormat="1" applyFont="1" applyAlignment="1">
      <alignment horizontal="center" vertical="center"/>
      <protection/>
    </xf>
    <xf numFmtId="2" fontId="0" fillId="0" borderId="0" xfId="0" applyNumberFormat="1" applyAlignment="1">
      <alignment vertical="top"/>
    </xf>
    <xf numFmtId="0" fontId="54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wrapText="1"/>
    </xf>
    <xf numFmtId="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wrapText="1"/>
    </xf>
    <xf numFmtId="2" fontId="47" fillId="0" borderId="0" xfId="0" applyNumberFormat="1" applyFont="1" applyAlignment="1">
      <alignment vertical="top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2" fontId="40" fillId="0" borderId="0" xfId="0" applyNumberFormat="1" applyFont="1" applyAlignment="1">
      <alignment vertical="top"/>
    </xf>
    <xf numFmtId="0" fontId="47" fillId="0" borderId="0" xfId="0" applyFont="1" applyBorder="1" applyAlignment="1">
      <alignment vertical="top"/>
    </xf>
    <xf numFmtId="0" fontId="55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0" fontId="0" fillId="0" borderId="10" xfId="0" applyFont="1" applyBorder="1" applyAlignment="1">
      <alignment vertical="center" wrapText="1"/>
    </xf>
    <xf numFmtId="4" fontId="0" fillId="33" borderId="10" xfId="0" applyNumberFormat="1" applyFont="1" applyFill="1" applyBorder="1" applyAlignment="1">
      <alignment horizontal="center" vertical="center"/>
    </xf>
    <xf numFmtId="4" fontId="3" fillId="0" borderId="0" xfId="52" applyNumberFormat="1" applyFont="1" applyAlignment="1">
      <alignment vertical="center"/>
      <protection/>
    </xf>
    <xf numFmtId="0" fontId="0" fillId="0" borderId="13" xfId="0" applyBorder="1" applyAlignment="1">
      <alignment horizontal="center" vertical="top"/>
    </xf>
    <xf numFmtId="2" fontId="3" fillId="0" borderId="0" xfId="52" applyNumberFormat="1" applyFont="1" applyAlignment="1">
      <alignment vertical="center"/>
      <protection/>
    </xf>
    <xf numFmtId="0" fontId="0" fillId="34" borderId="10" xfId="0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4" fontId="57" fillId="0" borderId="0" xfId="0" applyNumberFormat="1" applyFont="1" applyAlignment="1">
      <alignment/>
    </xf>
    <xf numFmtId="0" fontId="57" fillId="0" borderId="0" xfId="0" applyFont="1" applyAlignment="1">
      <alignment/>
    </xf>
    <xf numFmtId="2" fontId="57" fillId="0" borderId="0" xfId="0" applyNumberFormat="1" applyFont="1" applyAlignment="1">
      <alignment/>
    </xf>
    <xf numFmtId="4" fontId="47" fillId="0" borderId="0" xfId="0" applyNumberFormat="1" applyFont="1" applyBorder="1" applyAlignment="1">
      <alignment vertical="top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58" fillId="0" borderId="0" xfId="0" applyFont="1" applyAlignment="1">
      <alignment vertical="top"/>
    </xf>
    <xf numFmtId="0" fontId="40" fillId="0" borderId="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/>
    </xf>
    <xf numFmtId="0" fontId="40" fillId="0" borderId="17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16" fontId="0" fillId="0" borderId="10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0" fontId="40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4" fontId="47" fillId="0" borderId="0" xfId="0" applyNumberFormat="1" applyFont="1" applyBorder="1" applyAlignment="1">
      <alignment horizontal="center" vertical="center"/>
    </xf>
    <xf numFmtId="4" fontId="55" fillId="0" borderId="0" xfId="0" applyNumberFormat="1" applyFont="1" applyAlignment="1">
      <alignment vertical="top"/>
    </xf>
    <xf numFmtId="4" fontId="47" fillId="0" borderId="0" xfId="0" applyNumberFormat="1" applyFont="1" applyAlignment="1">
      <alignment vertical="top"/>
    </xf>
    <xf numFmtId="4" fontId="55" fillId="0" borderId="0" xfId="0" applyNumberFormat="1" applyFont="1" applyBorder="1" applyAlignment="1">
      <alignment vertical="top"/>
    </xf>
    <xf numFmtId="166" fontId="3" fillId="33" borderId="0" xfId="53" applyNumberFormat="1" applyFont="1" applyFill="1" applyBorder="1" applyAlignment="1" applyProtection="1">
      <alignment horizontal="left" vertical="center" wrapText="1"/>
      <protection/>
    </xf>
    <xf numFmtId="3" fontId="3" fillId="33" borderId="0" xfId="53" applyNumberFormat="1" applyFont="1" applyFill="1" applyBorder="1" applyAlignment="1" applyProtection="1">
      <alignment horizontal="center" vertical="center" wrapText="1"/>
      <protection/>
    </xf>
    <xf numFmtId="3" fontId="3" fillId="33" borderId="0" xfId="53" applyNumberFormat="1" applyFont="1" applyFill="1" applyBorder="1" applyAlignment="1" applyProtection="1">
      <alignment horizontal="center" vertical="center"/>
      <protection/>
    </xf>
    <xf numFmtId="168" fontId="3" fillId="33" borderId="0" xfId="53" applyNumberFormat="1" applyFont="1" applyFill="1" applyBorder="1" applyAlignment="1" applyProtection="1">
      <alignment horizontal="center" vertical="center"/>
      <protection/>
    </xf>
    <xf numFmtId="4" fontId="3" fillId="33" borderId="0" xfId="53" applyNumberFormat="1" applyFont="1" applyFill="1" applyBorder="1" applyAlignment="1" applyProtection="1">
      <alignment horizontal="center" vertical="center" wrapText="1"/>
      <protection/>
    </xf>
    <xf numFmtId="4" fontId="3" fillId="33" borderId="0" xfId="53" applyNumberFormat="1" applyFont="1" applyFill="1" applyBorder="1" applyAlignment="1" applyProtection="1">
      <alignment horizontal="center" vertical="center" wrapText="1"/>
      <protection/>
    </xf>
    <xf numFmtId="169" fontId="3" fillId="33" borderId="0" xfId="53" applyNumberFormat="1" applyFont="1" applyFill="1" applyBorder="1" applyAlignment="1" applyProtection="1">
      <alignment horizontal="center" vertical="center" wrapText="1"/>
      <protection/>
    </xf>
    <xf numFmtId="3" fontId="3" fillId="33" borderId="0" xfId="53" applyNumberFormat="1" applyFont="1" applyFill="1" applyBorder="1" applyAlignment="1">
      <alignment horizontal="center" vertical="center"/>
      <protection/>
    </xf>
    <xf numFmtId="2" fontId="3" fillId="33" borderId="0" xfId="52" applyNumberFormat="1" applyFont="1" applyFill="1" applyBorder="1" applyAlignment="1">
      <alignment horizontal="center" vertical="center"/>
      <protection/>
    </xf>
    <xf numFmtId="0" fontId="25" fillId="0" borderId="0" xfId="52" applyFont="1" applyAlignment="1">
      <alignment horizontal="left"/>
      <protection/>
    </xf>
    <xf numFmtId="0" fontId="47" fillId="0" borderId="0" xfId="0" applyFont="1" applyAlignment="1">
      <alignment vertical="top"/>
    </xf>
    <xf numFmtId="4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9" fontId="0" fillId="0" borderId="0" xfId="57" applyFont="1" applyAlignment="1">
      <alignment/>
    </xf>
    <xf numFmtId="9" fontId="40" fillId="0" borderId="0" xfId="57" applyFont="1" applyAlignment="1">
      <alignment/>
    </xf>
    <xf numFmtId="4" fontId="40" fillId="0" borderId="0" xfId="57" applyNumberFormat="1" applyFont="1" applyAlignment="1">
      <alignment/>
    </xf>
    <xf numFmtId="0" fontId="40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40" fillId="33" borderId="0" xfId="0" applyNumberFormat="1" applyFont="1" applyFill="1" applyAlignment="1">
      <alignment/>
    </xf>
    <xf numFmtId="4" fontId="54" fillId="33" borderId="10" xfId="0" applyNumberFormat="1" applyFont="1" applyFill="1" applyBorder="1" applyAlignment="1">
      <alignment horizontal="center" vertical="center"/>
    </xf>
    <xf numFmtId="4" fontId="24" fillId="33" borderId="10" xfId="0" applyNumberFormat="1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58" fillId="0" borderId="0" xfId="0" applyFont="1" applyAlignment="1">
      <alignment horizontal="center" vertical="top"/>
    </xf>
    <xf numFmtId="0" fontId="0" fillId="34" borderId="10" xfId="0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40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10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166" fontId="3" fillId="33" borderId="14" xfId="53" applyNumberFormat="1" applyFont="1" applyFill="1" applyBorder="1" applyAlignment="1" applyProtection="1">
      <alignment horizontal="center" vertical="center" textRotation="90" wrapText="1"/>
      <protection locked="0"/>
    </xf>
    <xf numFmtId="166" fontId="3" fillId="33" borderId="19" xfId="53" applyNumberFormat="1" applyFont="1" applyFill="1" applyBorder="1" applyAlignment="1" applyProtection="1">
      <alignment horizontal="center" vertical="center" textRotation="90" wrapText="1"/>
      <protection locked="0"/>
    </xf>
    <xf numFmtId="167" fontId="3" fillId="33" borderId="14" xfId="53" applyNumberFormat="1" applyFont="1" applyFill="1" applyBorder="1" applyAlignment="1" applyProtection="1">
      <alignment horizontal="center" vertical="center" wrapText="1"/>
      <protection locked="0"/>
    </xf>
    <xf numFmtId="167" fontId="3" fillId="33" borderId="19" xfId="53" applyNumberFormat="1" applyFont="1" applyFill="1" applyBorder="1" applyAlignment="1" applyProtection="1">
      <alignment horizontal="center" vertical="center" wrapText="1"/>
      <protection locked="0"/>
    </xf>
    <xf numFmtId="168" fontId="3" fillId="33" borderId="14" xfId="53" applyNumberFormat="1" applyFont="1" applyFill="1" applyBorder="1" applyAlignment="1" applyProtection="1">
      <alignment horizontal="center" vertical="center" wrapText="1"/>
      <protection locked="0"/>
    </xf>
    <xf numFmtId="168" fontId="3" fillId="33" borderId="19" xfId="53" applyNumberFormat="1" applyFont="1" applyFill="1" applyBorder="1" applyAlignment="1" applyProtection="1">
      <alignment horizontal="center" vertical="center" wrapText="1"/>
      <protection locked="0"/>
    </xf>
    <xf numFmtId="169" fontId="3" fillId="33" borderId="14" xfId="53" applyNumberFormat="1" applyFont="1" applyFill="1" applyBorder="1" applyAlignment="1" applyProtection="1">
      <alignment horizontal="center" vertical="center" wrapText="1"/>
      <protection locked="0"/>
    </xf>
    <xf numFmtId="169" fontId="3" fillId="33" borderId="19" xfId="53" applyNumberFormat="1" applyFont="1" applyFill="1" applyBorder="1" applyAlignment="1" applyProtection="1">
      <alignment horizontal="center" vertical="center" wrapText="1"/>
      <protection locked="0"/>
    </xf>
    <xf numFmtId="4" fontId="3" fillId="33" borderId="20" xfId="53" applyNumberFormat="1" applyFont="1" applyFill="1" applyBorder="1" applyAlignment="1" applyProtection="1">
      <alignment horizontal="center" vertical="center" wrapText="1"/>
      <protection locked="0"/>
    </xf>
    <xf numFmtId="4" fontId="3" fillId="33" borderId="21" xfId="53" applyNumberFormat="1" applyFont="1" applyFill="1" applyBorder="1" applyAlignment="1" applyProtection="1">
      <alignment horizontal="center" vertical="center" wrapText="1"/>
      <protection locked="0"/>
    </xf>
    <xf numFmtId="4" fontId="3" fillId="33" borderId="22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Alignment="1">
      <alignment horizontal="center" vertical="center" wrapText="1"/>
      <protection/>
    </xf>
    <xf numFmtId="165" fontId="3" fillId="33" borderId="14" xfId="53" applyNumberFormat="1" applyFont="1" applyFill="1" applyBorder="1" applyAlignment="1" applyProtection="1">
      <alignment horizontal="center" vertical="center" wrapText="1"/>
      <protection/>
    </xf>
    <xf numFmtId="165" fontId="3" fillId="33" borderId="19" xfId="53" applyNumberFormat="1" applyFont="1" applyFill="1" applyBorder="1" applyAlignment="1" applyProtection="1">
      <alignment horizontal="center" vertical="center" wrapText="1"/>
      <protection/>
    </xf>
    <xf numFmtId="169" fontId="3" fillId="33" borderId="23" xfId="53" applyNumberFormat="1" applyFont="1" applyFill="1" applyBorder="1" applyAlignment="1" applyProtection="1">
      <alignment horizontal="center" vertical="center" wrapText="1"/>
      <protection locked="0"/>
    </xf>
    <xf numFmtId="169" fontId="3" fillId="33" borderId="24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13" xfId="52" applyFont="1" applyFill="1" applyBorder="1" applyAlignment="1">
      <alignment horizontal="center" vertical="center" wrapText="1"/>
      <protection/>
    </xf>
    <xf numFmtId="0" fontId="3" fillId="33" borderId="18" xfId="52" applyFont="1" applyFill="1" applyBorder="1" applyAlignment="1">
      <alignment horizontal="center" vertical="center" wrapText="1"/>
      <protection/>
    </xf>
    <xf numFmtId="4" fontId="3" fillId="33" borderId="20" xfId="53" applyNumberFormat="1" applyFont="1" applyFill="1" applyBorder="1" applyAlignment="1">
      <alignment horizontal="center" vertical="center" wrapText="1"/>
      <protection/>
    </xf>
    <xf numFmtId="4" fontId="3" fillId="33" borderId="22" xfId="53" applyNumberFormat="1" applyFont="1" applyFill="1" applyBorder="1" applyAlignment="1">
      <alignment horizontal="center" vertical="center" wrapText="1"/>
      <protection/>
    </xf>
    <xf numFmtId="169" fontId="3" fillId="33" borderId="25" xfId="53" applyNumberFormat="1" applyFont="1" applyFill="1" applyBorder="1" applyAlignment="1" applyProtection="1">
      <alignment horizontal="center" vertical="center" wrapText="1"/>
      <protection locked="0"/>
    </xf>
    <xf numFmtId="168" fontId="3" fillId="33" borderId="26" xfId="53" applyNumberFormat="1" applyFont="1" applyFill="1" applyBorder="1" applyAlignment="1" applyProtection="1">
      <alignment horizontal="center" vertical="center" wrapText="1"/>
      <protection locked="0"/>
    </xf>
    <xf numFmtId="167" fontId="3" fillId="33" borderId="26" xfId="53" applyNumberFormat="1" applyFont="1" applyFill="1" applyBorder="1" applyAlignment="1" applyProtection="1">
      <alignment horizontal="center" vertical="center" wrapText="1"/>
      <protection locked="0"/>
    </xf>
    <xf numFmtId="166" fontId="3" fillId="33" borderId="26" xfId="53" applyNumberFormat="1" applyFont="1" applyFill="1" applyBorder="1" applyAlignment="1" applyProtection="1">
      <alignment horizontal="center" vertical="center" textRotation="90" wrapText="1"/>
      <protection locked="0"/>
    </xf>
    <xf numFmtId="165" fontId="3" fillId="33" borderId="25" xfId="53" applyNumberFormat="1" applyFont="1" applyFill="1" applyBorder="1" applyAlignment="1" applyProtection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169" fontId="3" fillId="33" borderId="27" xfId="53" applyNumberFormat="1" applyFont="1" applyFill="1" applyBorder="1" applyAlignment="1" applyProtection="1">
      <alignment horizontal="center" vertical="center" wrapText="1"/>
      <protection locked="0"/>
    </xf>
    <xf numFmtId="169" fontId="3" fillId="33" borderId="28" xfId="53" applyNumberFormat="1" applyFont="1" applyFill="1" applyBorder="1" applyAlignment="1" applyProtection="1">
      <alignment horizontal="center" vertical="center" wrapText="1"/>
      <protection locked="0"/>
    </xf>
    <xf numFmtId="169" fontId="3" fillId="33" borderId="29" xfId="53" applyNumberFormat="1" applyFont="1" applyFill="1" applyBorder="1" applyAlignment="1" applyProtection="1">
      <alignment horizontal="center" vertical="center" wrapText="1"/>
      <protection locked="0"/>
    </xf>
    <xf numFmtId="169" fontId="3" fillId="33" borderId="26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Месячный фонд оплаты рабочих 1998-2001 г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180975</xdr:colOff>
      <xdr:row>2</xdr:row>
      <xdr:rowOff>171450</xdr:rowOff>
    </xdr:from>
    <xdr:to>
      <xdr:col>20</xdr:col>
      <xdr:colOff>9525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68700" y="628650"/>
          <a:ext cx="4381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95250</xdr:colOff>
      <xdr:row>28</xdr:row>
      <xdr:rowOff>0</xdr:rowOff>
    </xdr:from>
    <xdr:to>
      <xdr:col>3</xdr:col>
      <xdr:colOff>419100</xdr:colOff>
      <xdr:row>29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6477000"/>
          <a:ext cx="3238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314325</xdr:colOff>
      <xdr:row>5</xdr:row>
      <xdr:rowOff>47625</xdr:rowOff>
    </xdr:from>
    <xdr:to>
      <xdr:col>22</xdr:col>
      <xdr:colOff>161925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619250"/>
          <a:ext cx="4381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95250</xdr:colOff>
      <xdr:row>28</xdr:row>
      <xdr:rowOff>0</xdr:rowOff>
    </xdr:from>
    <xdr:to>
      <xdr:col>3</xdr:col>
      <xdr:colOff>419100</xdr:colOff>
      <xdr:row>29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6705600"/>
          <a:ext cx="3238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1828800</xdr:colOff>
      <xdr:row>30</xdr:row>
      <xdr:rowOff>57150</xdr:rowOff>
    </xdr:from>
    <xdr:to>
      <xdr:col>2</xdr:col>
      <xdr:colOff>2266950</xdr:colOff>
      <xdr:row>31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7086600"/>
          <a:ext cx="4381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381000</xdr:colOff>
      <xdr:row>30</xdr:row>
      <xdr:rowOff>104775</xdr:rowOff>
    </xdr:from>
    <xdr:to>
      <xdr:col>3</xdr:col>
      <xdr:colOff>704850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7134225"/>
          <a:ext cx="3238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93;&#1085;&#1086;&#1083;&#1086;&#1075;&#1080;&#1095;&#1077;&#1089;&#1082;&#1086;&#1077;%20&#1087;&#1088;&#1080;&#1089;&#1086;&#1077;&#1076;&#1080;&#1085;&#1077;&#1085;&#1080;&#1077;%20&#1082;%20&#1101;&#1083;.&#1089;&#1077;&#1090;&#1103;&#1084;%20&#1085;&#1072;%202016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2"/>
      <sheetName val="№2!"/>
      <sheetName val="НВВ"/>
      <sheetName val="C1"/>
      <sheetName val="С2, С3, С4"/>
      <sheetName val="Р1"/>
      <sheetName val="Р4"/>
      <sheetName val="ТУ"/>
      <sheetName val="Проверка ТУ"/>
      <sheetName val="Факт.действ."/>
      <sheetName val="Лист3"/>
    </sheetNames>
    <sheetDataSet>
      <sheetData sheetId="4">
        <row r="7">
          <cell r="D7">
            <v>119169.35</v>
          </cell>
        </row>
        <row r="8">
          <cell r="D8">
            <v>148836.26</v>
          </cell>
        </row>
        <row r="9">
          <cell r="D9">
            <v>138040.8</v>
          </cell>
        </row>
        <row r="10">
          <cell r="D10">
            <v>108609.35</v>
          </cell>
        </row>
        <row r="11">
          <cell r="D11">
            <v>138650.14</v>
          </cell>
        </row>
        <row r="13">
          <cell r="D13">
            <v>214680</v>
          </cell>
        </row>
        <row r="14">
          <cell r="D14">
            <v>419128</v>
          </cell>
        </row>
        <row r="15">
          <cell r="D15">
            <v>284213</v>
          </cell>
        </row>
        <row r="16">
          <cell r="D16">
            <v>538190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44"/>
  <sheetViews>
    <sheetView view="pageBreakPreview" zoomScale="90" zoomScaleNormal="90" zoomScaleSheetLayoutView="90" zoomScalePageLayoutView="0" workbookViewId="0" topLeftCell="A19">
      <selection activeCell="L37" sqref="L37"/>
    </sheetView>
  </sheetViews>
  <sheetFormatPr defaultColWidth="9.140625" defaultRowHeight="15" outlineLevelRow="1"/>
  <cols>
    <col min="1" max="1" width="6.421875" style="4" customWidth="1"/>
    <col min="2" max="2" width="33.57421875" style="5" customWidth="1"/>
    <col min="3" max="3" width="16.57421875" style="5" customWidth="1"/>
    <col min="4" max="4" width="12.00390625" style="8" customWidth="1"/>
    <col min="5" max="6" width="14.28125" style="5" customWidth="1"/>
    <col min="7" max="7" width="8.8515625" style="72" customWidth="1"/>
    <col min="8" max="8" width="12.57421875" style="72" bestFit="1" customWidth="1"/>
    <col min="9" max="9" width="11.57421875" style="72" customWidth="1"/>
    <col min="10" max="10" width="8.8515625" style="72" customWidth="1"/>
    <col min="11" max="16384" width="8.8515625" style="5" customWidth="1"/>
  </cols>
  <sheetData>
    <row r="1" spans="4:5" ht="19.5" customHeight="1">
      <c r="D1" s="83" t="s">
        <v>84</v>
      </c>
      <c r="E1" s="83"/>
    </row>
    <row r="2" spans="4:5" ht="25.5" customHeight="1">
      <c r="D2" s="168" t="s">
        <v>85</v>
      </c>
      <c r="E2" s="9"/>
    </row>
    <row r="3" spans="4:5" ht="27" customHeight="1">
      <c r="D3" s="83" t="s">
        <v>156</v>
      </c>
      <c r="E3" s="9"/>
    </row>
    <row r="6" ht="14.25">
      <c r="F6" s="74" t="s">
        <v>0</v>
      </c>
    </row>
    <row r="8" spans="1:6" ht="15">
      <c r="A8" s="195" t="s">
        <v>1</v>
      </c>
      <c r="B8" s="195"/>
      <c r="C8" s="195"/>
      <c r="D8" s="195"/>
      <c r="E8" s="195"/>
      <c r="F8" s="195"/>
    </row>
    <row r="9" spans="1:6" ht="15">
      <c r="A9" s="195" t="s">
        <v>2</v>
      </c>
      <c r="B9" s="195"/>
      <c r="C9" s="195"/>
      <c r="D9" s="195"/>
      <c r="E9" s="195"/>
      <c r="F9" s="195"/>
    </row>
    <row r="10" spans="1:6" ht="15">
      <c r="A10" s="195" t="s">
        <v>3</v>
      </c>
      <c r="B10" s="195"/>
      <c r="C10" s="195"/>
      <c r="D10" s="195"/>
      <c r="E10" s="195"/>
      <c r="F10" s="195"/>
    </row>
    <row r="12" spans="1:10" s="6" customFormat="1" ht="90" customHeight="1">
      <c r="A12" s="1" t="s">
        <v>4</v>
      </c>
      <c r="B12" s="1" t="s">
        <v>5</v>
      </c>
      <c r="C12" s="1" t="s">
        <v>6</v>
      </c>
      <c r="D12" s="1" t="s">
        <v>17</v>
      </c>
      <c r="E12" s="1" t="s">
        <v>7</v>
      </c>
      <c r="F12" s="1" t="s">
        <v>8</v>
      </c>
      <c r="G12" s="77"/>
      <c r="H12" s="77"/>
      <c r="I12" s="77"/>
      <c r="J12" s="77"/>
    </row>
    <row r="13" spans="1:10" s="4" customFormat="1" ht="14.25">
      <c r="A13" s="7">
        <v>1</v>
      </c>
      <c r="B13" s="7">
        <v>2</v>
      </c>
      <c r="C13" s="7">
        <v>3</v>
      </c>
      <c r="D13" s="2">
        <v>4</v>
      </c>
      <c r="E13" s="7">
        <v>5</v>
      </c>
      <c r="F13" s="7">
        <v>6</v>
      </c>
      <c r="G13" s="78"/>
      <c r="H13" s="78"/>
      <c r="I13" s="78"/>
      <c r="J13" s="78"/>
    </row>
    <row r="14" spans="1:10" s="50" customFormat="1" ht="18" customHeight="1">
      <c r="A14" s="14" t="s">
        <v>9</v>
      </c>
      <c r="B14" s="192" t="s">
        <v>13</v>
      </c>
      <c r="C14" s="193"/>
      <c r="D14" s="193"/>
      <c r="E14" s="193"/>
      <c r="F14" s="194"/>
      <c r="G14" s="72"/>
      <c r="H14" s="72"/>
      <c r="I14" s="72"/>
      <c r="J14" s="72"/>
    </row>
    <row r="15" spans="1:6" ht="18" customHeight="1">
      <c r="A15" s="121" t="s">
        <v>49</v>
      </c>
      <c r="B15" s="24" t="s">
        <v>140</v>
      </c>
      <c r="C15" s="182">
        <f>E15*F15</f>
        <v>71096.2</v>
      </c>
      <c r="D15" s="24"/>
      <c r="E15" s="183">
        <f>SUM('C1'!C12:C13)</f>
        <v>1273.6</v>
      </c>
      <c r="F15" s="53">
        <f>'C1'!D12</f>
        <v>55.82302135678392</v>
      </c>
    </row>
    <row r="16" spans="1:8" ht="18" customHeight="1">
      <c r="A16" s="121" t="s">
        <v>51</v>
      </c>
      <c r="B16" s="24" t="s">
        <v>141</v>
      </c>
      <c r="C16" s="182">
        <f>E15*F16</f>
        <v>83893.516</v>
      </c>
      <c r="D16" s="24"/>
      <c r="E16" s="184"/>
      <c r="F16" s="53">
        <f>'C1'!D13</f>
        <v>65.87116520100503</v>
      </c>
      <c r="H16" s="119">
        <f>E15*F15</f>
        <v>71096.2</v>
      </c>
    </row>
    <row r="17" spans="1:10" s="50" customFormat="1" ht="45.75" customHeight="1">
      <c r="A17" s="51" t="s">
        <v>10</v>
      </c>
      <c r="B17" s="3" t="s">
        <v>14</v>
      </c>
      <c r="C17" s="52"/>
      <c r="D17" s="14"/>
      <c r="E17" s="14"/>
      <c r="F17" s="53">
        <v>0</v>
      </c>
      <c r="G17" s="72"/>
      <c r="H17" s="72"/>
      <c r="I17" s="72"/>
      <c r="J17" s="72"/>
    </row>
    <row r="18" spans="1:10" s="50" customFormat="1" ht="30.75" customHeight="1">
      <c r="A18" s="14" t="s">
        <v>11</v>
      </c>
      <c r="B18" s="185" t="s">
        <v>15</v>
      </c>
      <c r="C18" s="186"/>
      <c r="D18" s="186"/>
      <c r="E18" s="186"/>
      <c r="F18" s="187"/>
      <c r="G18" s="72"/>
      <c r="H18" s="80">
        <f>'Прил.№3 НВВ'!D15</f>
        <v>157795.95333333334</v>
      </c>
      <c r="I18" s="72">
        <f>H18/60</f>
        <v>2629.9325555555556</v>
      </c>
      <c r="J18" s="72"/>
    </row>
    <row r="19" spans="1:10" s="50" customFormat="1" ht="18" customHeight="1">
      <c r="A19" s="188" t="s">
        <v>12</v>
      </c>
      <c r="B19" s="190" t="s">
        <v>16</v>
      </c>
      <c r="C19" s="180">
        <f>'С2, С3, С4'!D7+'С2, С3, С4'!D8</f>
        <v>268005.61</v>
      </c>
      <c r="D19" s="13">
        <v>0.4</v>
      </c>
      <c r="E19" s="3"/>
      <c r="F19" s="82">
        <v>0</v>
      </c>
      <c r="G19" s="72"/>
      <c r="H19" s="72"/>
      <c r="I19" s="81">
        <f>I18*13</f>
        <v>34189.123222222224</v>
      </c>
      <c r="J19" s="72"/>
    </row>
    <row r="20" spans="1:10" s="50" customFormat="1" ht="18" customHeight="1">
      <c r="A20" s="184"/>
      <c r="B20" s="191"/>
      <c r="C20" s="180">
        <f>'С2, С3, С4'!D9+'С2, С3, С4'!D10+'С2, С3, С4'!D11</f>
        <v>385300.29000000004</v>
      </c>
      <c r="D20" s="75" t="s">
        <v>22</v>
      </c>
      <c r="E20" s="3"/>
      <c r="F20" s="82">
        <v>0</v>
      </c>
      <c r="G20" s="72"/>
      <c r="H20" s="72"/>
      <c r="I20" s="81">
        <f>I18*17</f>
        <v>44708.853444444445</v>
      </c>
      <c r="J20" s="72"/>
    </row>
    <row r="21" spans="1:9" ht="62.25" customHeight="1" hidden="1" outlineLevel="1">
      <c r="A21" s="51" t="s">
        <v>23</v>
      </c>
      <c r="B21" s="49" t="s">
        <v>18</v>
      </c>
      <c r="C21" s="181"/>
      <c r="D21" s="188">
        <v>0.4</v>
      </c>
      <c r="E21" s="65"/>
      <c r="F21" s="53">
        <v>0</v>
      </c>
      <c r="I21" s="81"/>
    </row>
    <row r="22" spans="1:9" ht="75" customHeight="1" hidden="1" outlineLevel="1">
      <c r="A22" s="51" t="s">
        <v>24</v>
      </c>
      <c r="B22" s="49" t="s">
        <v>19</v>
      </c>
      <c r="C22" s="181"/>
      <c r="D22" s="184"/>
      <c r="E22" s="65"/>
      <c r="F22" s="53">
        <v>0</v>
      </c>
      <c r="I22" s="81"/>
    </row>
    <row r="23" spans="1:9" ht="75" customHeight="1" hidden="1" outlineLevel="1">
      <c r="A23" s="51" t="s">
        <v>25</v>
      </c>
      <c r="B23" s="49" t="s">
        <v>20</v>
      </c>
      <c r="C23" s="181"/>
      <c r="D23" s="188" t="s">
        <v>22</v>
      </c>
      <c r="E23" s="65"/>
      <c r="F23" s="53">
        <v>0</v>
      </c>
      <c r="I23" s="81"/>
    </row>
    <row r="24" spans="1:9" ht="45" customHeight="1" hidden="1" outlineLevel="1">
      <c r="A24" s="51" t="s">
        <v>26</v>
      </c>
      <c r="B24" s="49" t="s">
        <v>21</v>
      </c>
      <c r="C24" s="181"/>
      <c r="D24" s="189"/>
      <c r="E24" s="65"/>
      <c r="F24" s="53">
        <v>0</v>
      </c>
      <c r="I24" s="81"/>
    </row>
    <row r="25" spans="1:9" ht="60" customHeight="1" hidden="1" outlineLevel="1">
      <c r="A25" s="51" t="s">
        <v>27</v>
      </c>
      <c r="B25" s="49" t="s">
        <v>124</v>
      </c>
      <c r="C25" s="181"/>
      <c r="D25" s="189"/>
      <c r="E25" s="65"/>
      <c r="F25" s="53">
        <v>0</v>
      </c>
      <c r="I25" s="81"/>
    </row>
    <row r="26" spans="1:10" s="50" customFormat="1" ht="18.75" customHeight="1" collapsed="1">
      <c r="A26" s="188" t="s">
        <v>28</v>
      </c>
      <c r="B26" s="190" t="s">
        <v>29</v>
      </c>
      <c r="C26" s="180">
        <f>'С2, С3, С4'!D13+'С2, С3, С4'!D14</f>
        <v>633808</v>
      </c>
      <c r="D26" s="13">
        <v>0.4</v>
      </c>
      <c r="E26" s="3"/>
      <c r="F26" s="82">
        <v>0</v>
      </c>
      <c r="G26" s="72"/>
      <c r="H26" s="72"/>
      <c r="I26" s="81">
        <f>I18*13</f>
        <v>34189.123222222224</v>
      </c>
      <c r="J26" s="72"/>
    </row>
    <row r="27" spans="1:10" s="50" customFormat="1" ht="18.75" customHeight="1">
      <c r="A27" s="184"/>
      <c r="B27" s="191"/>
      <c r="C27" s="180">
        <f>'С2, С3, С4'!D15+'С2, С3, С4'!D16</f>
        <v>822403</v>
      </c>
      <c r="D27" s="75" t="s">
        <v>22</v>
      </c>
      <c r="E27" s="76"/>
      <c r="F27" s="82">
        <v>0</v>
      </c>
      <c r="G27" s="72"/>
      <c r="H27" s="72"/>
      <c r="I27" s="81">
        <f>I18*16</f>
        <v>42078.92088888889</v>
      </c>
      <c r="J27" s="72"/>
    </row>
    <row r="28" spans="1:9" ht="28.5" hidden="1" outlineLevel="1">
      <c r="A28" s="55" t="s">
        <v>30</v>
      </c>
      <c r="B28" s="49" t="s">
        <v>128</v>
      </c>
      <c r="C28" s="79"/>
      <c r="D28" s="188">
        <v>0.4</v>
      </c>
      <c r="E28" s="64"/>
      <c r="F28" s="65">
        <v>0</v>
      </c>
      <c r="I28" s="81"/>
    </row>
    <row r="29" spans="1:9" ht="28.5" hidden="1" outlineLevel="1">
      <c r="A29" s="55" t="s">
        <v>31</v>
      </c>
      <c r="B29" s="49" t="s">
        <v>126</v>
      </c>
      <c r="C29" s="79"/>
      <c r="D29" s="184"/>
      <c r="E29" s="64"/>
      <c r="F29" s="65">
        <v>0</v>
      </c>
      <c r="I29" s="81"/>
    </row>
    <row r="30" spans="1:9" ht="31.5" customHeight="1" hidden="1" outlineLevel="1">
      <c r="A30" s="55" t="s">
        <v>31</v>
      </c>
      <c r="B30" s="49" t="s">
        <v>125</v>
      </c>
      <c r="C30" s="79"/>
      <c r="D30" s="188" t="s">
        <v>22</v>
      </c>
      <c r="E30" s="64"/>
      <c r="F30" s="65">
        <v>0</v>
      </c>
      <c r="I30" s="81"/>
    </row>
    <row r="31" spans="1:9" ht="28.5" hidden="1" outlineLevel="1">
      <c r="A31" s="55" t="s">
        <v>32</v>
      </c>
      <c r="B31" s="49" t="s">
        <v>127</v>
      </c>
      <c r="C31" s="79"/>
      <c r="D31" s="184"/>
      <c r="E31" s="64"/>
      <c r="F31" s="65">
        <v>0</v>
      </c>
      <c r="I31" s="81"/>
    </row>
    <row r="32" spans="1:10" s="50" customFormat="1" ht="30" customHeight="1" collapsed="1">
      <c r="A32" s="51" t="s">
        <v>33</v>
      </c>
      <c r="B32" s="54" t="s">
        <v>34</v>
      </c>
      <c r="C32" s="79"/>
      <c r="D32" s="14"/>
      <c r="E32" s="64"/>
      <c r="F32" s="65">
        <v>0</v>
      </c>
      <c r="G32" s="72"/>
      <c r="H32" s="72"/>
      <c r="I32" s="81">
        <f>I18*1</f>
        <v>2629.9325555555556</v>
      </c>
      <c r="J32" s="72"/>
    </row>
    <row r="33" spans="1:10" s="50" customFormat="1" ht="45" customHeight="1">
      <c r="A33" s="51" t="s">
        <v>35</v>
      </c>
      <c r="B33" s="54" t="s">
        <v>129</v>
      </c>
      <c r="C33" s="65">
        <f>(199004+149581+1380267)</f>
        <v>1728852</v>
      </c>
      <c r="D33" s="122" t="s">
        <v>22</v>
      </c>
      <c r="E33" s="64"/>
      <c r="F33" s="65">
        <f>(199004+149581+1380267)/(630*2*0.89)</f>
        <v>1541.6907437132154</v>
      </c>
      <c r="G33" s="72"/>
      <c r="H33" s="72"/>
      <c r="I33" s="81">
        <f>SUM(I19:I32)</f>
        <v>157795.95333333334</v>
      </c>
      <c r="J33" s="72"/>
    </row>
    <row r="34" spans="1:10" s="50" customFormat="1" ht="18" customHeight="1">
      <c r="A34" s="14" t="s">
        <v>36</v>
      </c>
      <c r="B34" s="192" t="s">
        <v>37</v>
      </c>
      <c r="C34" s="193"/>
      <c r="D34" s="193"/>
      <c r="E34" s="193"/>
      <c r="F34" s="194"/>
      <c r="G34" s="72"/>
      <c r="H34" s="80"/>
      <c r="I34" s="72"/>
      <c r="J34" s="72"/>
    </row>
    <row r="35" spans="1:9" ht="18" customHeight="1">
      <c r="A35" s="130" t="s">
        <v>118</v>
      </c>
      <c r="B35" s="24" t="s">
        <v>140</v>
      </c>
      <c r="C35" s="182">
        <f>E35*F35</f>
        <v>44719.14</v>
      </c>
      <c r="D35" s="24"/>
      <c r="E35" s="183">
        <f>SUM('C1'!C12:C13)</f>
        <v>1273.6</v>
      </c>
      <c r="F35" s="53">
        <f>'C1'!E12</f>
        <v>35.11239007537689</v>
      </c>
      <c r="H35" s="157">
        <f>E35*F35</f>
        <v>44719.14</v>
      </c>
      <c r="I35" s="169"/>
    </row>
    <row r="36" spans="1:6" ht="18" customHeight="1">
      <c r="A36" s="130" t="s">
        <v>119</v>
      </c>
      <c r="B36" s="24" t="s">
        <v>141</v>
      </c>
      <c r="C36" s="182">
        <f>E35*F36</f>
        <v>52768.5852</v>
      </c>
      <c r="D36" s="24"/>
      <c r="E36" s="184"/>
      <c r="F36" s="53">
        <f>'C1'!E13</f>
        <v>41.432620288944726</v>
      </c>
    </row>
    <row r="37" spans="1:10" s="50" customFormat="1" ht="57">
      <c r="A37" s="51" t="s">
        <v>38</v>
      </c>
      <c r="B37" s="54" t="s">
        <v>39</v>
      </c>
      <c r="C37" s="67"/>
      <c r="D37" s="120"/>
      <c r="E37" s="52"/>
      <c r="F37" s="65">
        <v>0</v>
      </c>
      <c r="G37" s="72"/>
      <c r="H37" s="72"/>
      <c r="I37" s="72"/>
      <c r="J37" s="72"/>
    </row>
    <row r="38" spans="1:10" s="68" customFormat="1" ht="21" customHeight="1">
      <c r="A38" s="14" t="s">
        <v>40</v>
      </c>
      <c r="B38" s="185" t="s">
        <v>41</v>
      </c>
      <c r="C38" s="186"/>
      <c r="D38" s="186"/>
      <c r="E38" s="186"/>
      <c r="F38" s="187"/>
      <c r="G38" s="71"/>
      <c r="H38" s="71"/>
      <c r="I38" s="71"/>
      <c r="J38" s="71"/>
    </row>
    <row r="39" spans="1:9" ht="18" customHeight="1">
      <c r="A39" s="130" t="s">
        <v>120</v>
      </c>
      <c r="B39" s="24" t="s">
        <v>140</v>
      </c>
      <c r="C39" s="182">
        <f>E39*F39</f>
        <v>41980.47</v>
      </c>
      <c r="D39" s="24"/>
      <c r="E39" s="183">
        <f>SUM('C1'!C12:C13)</f>
        <v>1273.6</v>
      </c>
      <c r="F39" s="53">
        <f>'C1'!F12</f>
        <v>32.96205244974875</v>
      </c>
      <c r="H39" s="157">
        <f>E39*F39</f>
        <v>41980.47</v>
      </c>
      <c r="I39" s="156">
        <f>H16+H35+H39</f>
        <v>157795.81</v>
      </c>
    </row>
    <row r="40" spans="1:6" ht="18" customHeight="1">
      <c r="A40" s="7" t="s">
        <v>121</v>
      </c>
      <c r="B40" s="24" t="s">
        <v>141</v>
      </c>
      <c r="C40" s="182">
        <f>E39*F40</f>
        <v>49536.9546</v>
      </c>
      <c r="D40" s="24"/>
      <c r="E40" s="184"/>
      <c r="F40" s="53">
        <f>'C1'!F13</f>
        <v>38.89522189070352</v>
      </c>
    </row>
    <row r="41" spans="7:8" ht="14.25">
      <c r="G41" s="48"/>
      <c r="H41" s="119"/>
    </row>
    <row r="42" spans="7:8" ht="14.25">
      <c r="G42" s="48"/>
      <c r="H42" s="119">
        <f>F15+F35+F39</f>
        <v>123.89746388190954</v>
      </c>
    </row>
    <row r="43" ht="14.25">
      <c r="H43" s="119">
        <f>F16+F36+F40</f>
        <v>146.19900738065326</v>
      </c>
    </row>
    <row r="44" spans="1:6" s="72" customFormat="1" ht="14.25">
      <c r="A44" s="70" t="s">
        <v>138</v>
      </c>
      <c r="B44" s="5"/>
      <c r="C44" s="71"/>
      <c r="E44" s="5"/>
      <c r="F44" s="73" t="s">
        <v>115</v>
      </c>
    </row>
  </sheetData>
  <sheetProtection/>
  <mergeCells count="18">
    <mergeCell ref="B18:F18"/>
    <mergeCell ref="A19:A20"/>
    <mergeCell ref="B19:B20"/>
    <mergeCell ref="D21:D22"/>
    <mergeCell ref="E15:E16"/>
    <mergeCell ref="A8:F8"/>
    <mergeCell ref="A9:F9"/>
    <mergeCell ref="A10:F10"/>
    <mergeCell ref="B14:F14"/>
    <mergeCell ref="E35:E36"/>
    <mergeCell ref="E39:E40"/>
    <mergeCell ref="B38:F38"/>
    <mergeCell ref="D23:D25"/>
    <mergeCell ref="A26:A27"/>
    <mergeCell ref="B26:B27"/>
    <mergeCell ref="D28:D29"/>
    <mergeCell ref="D30:D31"/>
    <mergeCell ref="B34:F34"/>
  </mergeCells>
  <printOptions/>
  <pageMargins left="0.9055118110236221" right="0.3937007874015748" top="0.7480314960629921" bottom="0.5511811023622047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G41"/>
  <sheetViews>
    <sheetView zoomScalePageLayoutView="0" workbookViewId="0" topLeftCell="A8">
      <selection activeCell="F13" sqref="F13"/>
    </sheetView>
  </sheetViews>
  <sheetFormatPr defaultColWidth="9.140625" defaultRowHeight="15" outlineLevelRow="1"/>
  <cols>
    <col min="1" max="1" width="7.421875" style="17" customWidth="1"/>
    <col min="2" max="2" width="49.8515625" style="21" customWidth="1"/>
    <col min="3" max="4" width="16.421875" style="9" customWidth="1"/>
    <col min="5" max="16384" width="8.8515625" style="9" customWidth="1"/>
  </cols>
  <sheetData>
    <row r="1" spans="3:5" ht="21" customHeight="1">
      <c r="C1" s="83" t="s">
        <v>84</v>
      </c>
      <c r="D1" s="83"/>
      <c r="E1" s="83"/>
    </row>
    <row r="2" spans="3:5" ht="21" customHeight="1">
      <c r="C2" s="168" t="s">
        <v>85</v>
      </c>
      <c r="E2" s="5"/>
    </row>
    <row r="3" spans="3:5" ht="27.75" customHeight="1">
      <c r="C3" s="83" t="s">
        <v>156</v>
      </c>
      <c r="E3" s="5"/>
    </row>
    <row r="6" spans="1:4" ht="15">
      <c r="A6" s="15"/>
      <c r="B6" s="18"/>
      <c r="C6" s="10"/>
      <c r="D6" s="12" t="s">
        <v>42</v>
      </c>
    </row>
    <row r="7" spans="1:4" ht="15">
      <c r="A7" s="15"/>
      <c r="B7" s="18"/>
      <c r="C7" s="10"/>
      <c r="D7" s="10"/>
    </row>
    <row r="8" spans="1:4" ht="15">
      <c r="A8" s="196" t="s">
        <v>43</v>
      </c>
      <c r="B8" s="196"/>
      <c r="C8" s="196"/>
      <c r="D8" s="196"/>
    </row>
    <row r="9" spans="1:4" ht="15">
      <c r="A9" s="196" t="s">
        <v>44</v>
      </c>
      <c r="B9" s="196"/>
      <c r="C9" s="196"/>
      <c r="D9" s="196"/>
    </row>
    <row r="10" spans="1:4" ht="15">
      <c r="A10" s="196" t="s">
        <v>45</v>
      </c>
      <c r="B10" s="196"/>
      <c r="C10" s="196"/>
      <c r="D10" s="196"/>
    </row>
    <row r="12" spans="1:4" ht="15">
      <c r="A12" s="16"/>
      <c r="B12" s="19"/>
      <c r="C12" s="11"/>
      <c r="D12" s="12" t="s">
        <v>46</v>
      </c>
    </row>
    <row r="13" spans="1:4" ht="42.75">
      <c r="A13" s="13" t="s">
        <v>4</v>
      </c>
      <c r="B13" s="13" t="s">
        <v>47</v>
      </c>
      <c r="C13" s="1" t="s">
        <v>169</v>
      </c>
      <c r="D13" s="1" t="s">
        <v>170</v>
      </c>
    </row>
    <row r="14" spans="1:4" ht="15">
      <c r="A14" s="14">
        <v>1</v>
      </c>
      <c r="B14" s="13">
        <v>2</v>
      </c>
      <c r="C14" s="14">
        <v>3</v>
      </c>
      <c r="D14" s="14">
        <v>4</v>
      </c>
    </row>
    <row r="15" spans="1:5" ht="28.5">
      <c r="A15" s="2" t="s">
        <v>9</v>
      </c>
      <c r="B15" s="20" t="s">
        <v>48</v>
      </c>
      <c r="C15" s="65">
        <v>17649.51</v>
      </c>
      <c r="D15" s="65">
        <f>D16+D17+D18+D19+D20+D29+D30</f>
        <v>157795.95333333334</v>
      </c>
      <c r="E15" s="135"/>
    </row>
    <row r="16" spans="1:4" ht="15">
      <c r="A16" s="2" t="s">
        <v>49</v>
      </c>
      <c r="B16" s="20" t="s">
        <v>50</v>
      </c>
      <c r="C16" s="65"/>
      <c r="D16" s="65"/>
    </row>
    <row r="17" spans="1:4" ht="15">
      <c r="A17" s="2" t="s">
        <v>51</v>
      </c>
      <c r="B17" s="20" t="s">
        <v>52</v>
      </c>
      <c r="C17" s="65"/>
      <c r="D17" s="65"/>
    </row>
    <row r="18" spans="1:4" ht="15">
      <c r="A18" s="2" t="s">
        <v>53</v>
      </c>
      <c r="B18" s="20" t="s">
        <v>54</v>
      </c>
      <c r="C18" s="128"/>
      <c r="D18" s="65">
        <f>(ТУ!C10+'Проверка ТУ'!C10+'Факт.действ.'!C10)*'C1'!B10</f>
        <v>49547.18</v>
      </c>
    </row>
    <row r="19" spans="1:4" ht="15">
      <c r="A19" s="2" t="s">
        <v>55</v>
      </c>
      <c r="B19" s="20" t="s">
        <v>56</v>
      </c>
      <c r="C19" s="128"/>
      <c r="D19" s="65">
        <f>(ТУ!C11+ТУ!C12+'Проверка ТУ'!C11+'Проверка ТУ'!C12+'Факт.действ.'!C11+'Факт.действ.'!C12)*'C1'!B10</f>
        <v>14963.140000000001</v>
      </c>
    </row>
    <row r="20" spans="1:4" ht="15">
      <c r="A20" s="2" t="s">
        <v>57</v>
      </c>
      <c r="B20" s="20" t="s">
        <v>111</v>
      </c>
      <c r="C20" s="128"/>
      <c r="D20" s="65">
        <f>D21+D22+D23</f>
        <v>31596.4</v>
      </c>
    </row>
    <row r="21" spans="1:4" ht="15" hidden="1" outlineLevel="1">
      <c r="A21" s="113" t="s">
        <v>58</v>
      </c>
      <c r="B21" s="114" t="s">
        <v>59</v>
      </c>
      <c r="C21" s="179"/>
      <c r="D21" s="115">
        <f>(ТУ!C13+'Проверка ТУ'!C13+'Факт.действ.'!C13)*'C1'!B10</f>
        <v>31596.4</v>
      </c>
    </row>
    <row r="22" spans="1:4" ht="28.5" hidden="1" outlineLevel="1">
      <c r="A22" s="113" t="s">
        <v>60</v>
      </c>
      <c r="B22" s="116" t="s">
        <v>61</v>
      </c>
      <c r="C22" s="179"/>
      <c r="D22" s="115"/>
    </row>
    <row r="23" spans="1:4" s="25" customFormat="1" ht="15" customHeight="1" hidden="1" outlineLevel="1">
      <c r="A23" s="117" t="s">
        <v>62</v>
      </c>
      <c r="B23" s="118" t="s">
        <v>63</v>
      </c>
      <c r="C23" s="179"/>
      <c r="D23" s="115">
        <f>D24+D25+D26+D27+D28</f>
        <v>0</v>
      </c>
    </row>
    <row r="24" spans="1:4" s="25" customFormat="1" ht="15" customHeight="1" hidden="1" outlineLevel="1">
      <c r="A24" s="117" t="s">
        <v>64</v>
      </c>
      <c r="B24" s="118" t="s">
        <v>65</v>
      </c>
      <c r="C24" s="179"/>
      <c r="D24" s="115"/>
    </row>
    <row r="25" spans="1:4" ht="15" hidden="1" outlineLevel="1">
      <c r="A25" s="113" t="s">
        <v>66</v>
      </c>
      <c r="B25" s="118" t="s">
        <v>67</v>
      </c>
      <c r="C25" s="179"/>
      <c r="D25" s="115"/>
    </row>
    <row r="26" spans="1:4" ht="28.5" hidden="1" outlineLevel="1">
      <c r="A26" s="113" t="s">
        <v>68</v>
      </c>
      <c r="B26" s="118" t="s">
        <v>69</v>
      </c>
      <c r="C26" s="179"/>
      <c r="D26" s="115"/>
    </row>
    <row r="27" spans="1:4" ht="15" hidden="1" outlineLevel="1">
      <c r="A27" s="113" t="s">
        <v>70</v>
      </c>
      <c r="B27" s="118" t="s">
        <v>71</v>
      </c>
      <c r="C27" s="179"/>
      <c r="D27" s="115"/>
    </row>
    <row r="28" spans="1:4" ht="28.5" hidden="1" outlineLevel="1">
      <c r="A28" s="113" t="s">
        <v>72</v>
      </c>
      <c r="B28" s="118" t="s">
        <v>73</v>
      </c>
      <c r="C28" s="179"/>
      <c r="D28" s="115"/>
    </row>
    <row r="29" spans="1:4" ht="15" collapsed="1">
      <c r="A29" s="2" t="s">
        <v>74</v>
      </c>
      <c r="B29" s="20" t="s">
        <v>167</v>
      </c>
      <c r="C29" s="128"/>
      <c r="D29" s="65">
        <f>(ТУ!C14+'Проверка ТУ'!C14+'Факт.действ.'!C14)*'C1'!B10</f>
        <v>54175.41333333334</v>
      </c>
    </row>
    <row r="30" spans="1:4" ht="15">
      <c r="A30" s="2" t="s">
        <v>171</v>
      </c>
      <c r="B30" s="20" t="s">
        <v>75</v>
      </c>
      <c r="C30" s="128"/>
      <c r="D30" s="65">
        <f>D31+D32+D33+D34</f>
        <v>7513.820000000001</v>
      </c>
    </row>
    <row r="31" spans="1:4" ht="15">
      <c r="A31" s="2" t="s">
        <v>172</v>
      </c>
      <c r="B31" s="20" t="s">
        <v>76</v>
      </c>
      <c r="C31" s="128"/>
      <c r="D31" s="65"/>
    </row>
    <row r="32" spans="1:4" ht="15">
      <c r="A32" s="2" t="s">
        <v>173</v>
      </c>
      <c r="B32" s="20" t="s">
        <v>77</v>
      </c>
      <c r="C32" s="65"/>
      <c r="D32" s="65"/>
    </row>
    <row r="33" spans="1:4" ht="15">
      <c r="A33" s="2" t="s">
        <v>174</v>
      </c>
      <c r="B33" s="20" t="s">
        <v>78</v>
      </c>
      <c r="C33" s="65"/>
      <c r="D33" s="65">
        <f>(ТУ!C16+'Проверка ТУ'!C16+'Факт.действ.'!C16)*'C1'!B10</f>
        <v>7513.820000000001</v>
      </c>
    </row>
    <row r="34" spans="1:4" ht="28.5">
      <c r="A34" s="2" t="s">
        <v>175</v>
      </c>
      <c r="B34" s="20" t="s">
        <v>79</v>
      </c>
      <c r="C34" s="65"/>
      <c r="D34" s="65"/>
    </row>
    <row r="35" spans="1:4" s="26" customFormat="1" ht="60.75" customHeight="1">
      <c r="A35" s="2" t="s">
        <v>10</v>
      </c>
      <c r="B35" s="24" t="s">
        <v>80</v>
      </c>
      <c r="C35" s="65">
        <v>0</v>
      </c>
      <c r="D35" s="65">
        <f>'[1]С2, С3, С4'!D7+'[1]С2, С3, С4'!D8+'[1]С2, С3, С4'!D9+'[1]С2, С3, С4'!D10+'[1]С2, С3, С4'!D11+'[1]С2, С3, С4'!D13+'[1]С2, С3, С4'!D14+'[1]С2, С3, С4'!D15+'[1]С2, С3, С4'!D16+1728852</f>
        <v>3838368.9</v>
      </c>
    </row>
    <row r="36" spans="1:4" ht="15">
      <c r="A36" s="2" t="s">
        <v>11</v>
      </c>
      <c r="B36" s="20" t="s">
        <v>81</v>
      </c>
      <c r="C36" s="65"/>
      <c r="D36" s="65"/>
    </row>
    <row r="37" spans="1:7" ht="15">
      <c r="A37" s="22" t="s">
        <v>82</v>
      </c>
      <c r="B37" s="23" t="s">
        <v>83</v>
      </c>
      <c r="C37" s="69">
        <f>C15+C35+C36</f>
        <v>17649.51</v>
      </c>
      <c r="D37" s="69">
        <f>D15+D35+D36</f>
        <v>3996164.853333333</v>
      </c>
      <c r="E37" s="136">
        <f>D37/'C1'!C10</f>
        <v>3137.6922529313233</v>
      </c>
      <c r="F37" s="138">
        <f>E37*1.18</f>
        <v>3702.4768584589615</v>
      </c>
      <c r="G37" s="137"/>
    </row>
    <row r="38" spans="1:4" ht="15">
      <c r="A38" s="16"/>
      <c r="B38" s="19"/>
      <c r="C38" s="11"/>
      <c r="D38" s="11"/>
    </row>
    <row r="39" spans="1:4" ht="15">
      <c r="A39" s="16"/>
      <c r="B39" s="19"/>
      <c r="C39" s="11"/>
      <c r="D39" s="11"/>
    </row>
    <row r="41" spans="1:4" ht="15">
      <c r="A41" s="70" t="s">
        <v>138</v>
      </c>
      <c r="B41" s="71"/>
      <c r="C41" s="72"/>
      <c r="D41" s="73" t="s">
        <v>115</v>
      </c>
    </row>
  </sheetData>
  <sheetProtection/>
  <mergeCells count="3">
    <mergeCell ref="A10:D10"/>
    <mergeCell ref="A9:D9"/>
    <mergeCell ref="A8:D8"/>
  </mergeCells>
  <printOptions/>
  <pageMargins left="0.7086614173228347" right="0.31496062992125984" top="0.7480314960629921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7C80"/>
  </sheetPr>
  <dimension ref="A2:L20"/>
  <sheetViews>
    <sheetView zoomScale="90" zoomScaleNormal="90" zoomScalePageLayoutView="0" workbookViewId="0" topLeftCell="A1">
      <selection activeCell="I5" sqref="I5"/>
    </sheetView>
  </sheetViews>
  <sheetFormatPr defaultColWidth="9.140625" defaultRowHeight="15" outlineLevelRow="1"/>
  <cols>
    <col min="1" max="1" width="33.8515625" style="5" customWidth="1"/>
    <col min="2" max="2" width="17.140625" style="8" customWidth="1"/>
    <col min="3" max="3" width="17.00390625" style="8" customWidth="1"/>
    <col min="4" max="7" width="17.7109375" style="5" customWidth="1"/>
    <col min="8" max="16384" width="8.8515625" style="5" customWidth="1"/>
  </cols>
  <sheetData>
    <row r="2" spans="1:7" ht="21.75" customHeight="1">
      <c r="A2" s="201" t="s">
        <v>134</v>
      </c>
      <c r="B2" s="201"/>
      <c r="C2" s="201"/>
      <c r="D2" s="201"/>
      <c r="E2" s="201"/>
      <c r="F2" s="201"/>
      <c r="G2" s="201"/>
    </row>
    <row r="3" spans="1:7" ht="34.5" customHeight="1">
      <c r="A3" s="204" t="s">
        <v>135</v>
      </c>
      <c r="B3" s="204"/>
      <c r="C3" s="204"/>
      <c r="D3" s="204"/>
      <c r="E3" s="204"/>
      <c r="F3" s="204"/>
      <c r="G3" s="204"/>
    </row>
    <row r="5" spans="1:7" s="6" customFormat="1" ht="105" customHeight="1">
      <c r="A5" s="1" t="s">
        <v>130</v>
      </c>
      <c r="B5" s="1" t="s">
        <v>162</v>
      </c>
      <c r="C5" s="1" t="s">
        <v>163</v>
      </c>
      <c r="D5" s="1" t="s">
        <v>131</v>
      </c>
      <c r="E5" s="1" t="s">
        <v>132</v>
      </c>
      <c r="F5" s="1" t="s">
        <v>133</v>
      </c>
      <c r="G5" s="1" t="s">
        <v>142</v>
      </c>
    </row>
    <row r="6" spans="1:7" s="4" customFormat="1" ht="14.25">
      <c r="A6" s="7">
        <v>1</v>
      </c>
      <c r="B6" s="7">
        <v>2</v>
      </c>
      <c r="C6" s="7">
        <v>4</v>
      </c>
      <c r="D6" s="7">
        <v>5</v>
      </c>
      <c r="E6" s="7">
        <v>6</v>
      </c>
      <c r="F6" s="7">
        <v>7</v>
      </c>
      <c r="G6" s="7">
        <v>8</v>
      </c>
    </row>
    <row r="7" spans="1:12" ht="21" customHeight="1" hidden="1" outlineLevel="1">
      <c r="A7" s="202" t="s">
        <v>139</v>
      </c>
      <c r="B7" s="132"/>
      <c r="C7" s="133"/>
      <c r="D7" s="133"/>
      <c r="E7" s="133"/>
      <c r="F7" s="133"/>
      <c r="G7" s="133"/>
      <c r="I7" s="112"/>
      <c r="J7" s="112"/>
      <c r="K7" s="112"/>
      <c r="L7" s="112"/>
    </row>
    <row r="8" spans="1:12" ht="21" customHeight="1" hidden="1" outlineLevel="1">
      <c r="A8" s="203"/>
      <c r="B8" s="132"/>
      <c r="C8" s="133"/>
      <c r="D8" s="133"/>
      <c r="E8" s="133"/>
      <c r="F8" s="133"/>
      <c r="G8" s="133"/>
      <c r="I8" s="112"/>
      <c r="J8" s="112"/>
      <c r="K8" s="112"/>
      <c r="L8" s="112"/>
    </row>
    <row r="9" spans="1:12" ht="21" customHeight="1" hidden="1" outlineLevel="1">
      <c r="A9" s="134" t="s">
        <v>117</v>
      </c>
      <c r="B9" s="132"/>
      <c r="C9" s="133"/>
      <c r="D9" s="133"/>
      <c r="E9" s="133"/>
      <c r="F9" s="133"/>
      <c r="G9" s="133"/>
      <c r="I9" s="112"/>
      <c r="J9" s="112"/>
      <c r="K9" s="112"/>
      <c r="L9" s="112"/>
    </row>
    <row r="10" spans="1:12" ht="21" customHeight="1" hidden="1" outlineLevel="1">
      <c r="A10" s="127"/>
      <c r="B10" s="14">
        <v>43</v>
      </c>
      <c r="C10" s="128">
        <v>1273.6</v>
      </c>
      <c r="D10" s="65">
        <f>ТУ!C17*B10/'Р1'!C10</f>
        <v>55.82302135678392</v>
      </c>
      <c r="E10" s="65">
        <f>'Проверка ТУ'!C17*B10/'Р1'!C10</f>
        <v>35.11239007537689</v>
      </c>
      <c r="F10" s="65">
        <f>'Факт.действ.'!C17*B10/'Р1'!C10</f>
        <v>32.96205244974875</v>
      </c>
      <c r="G10" s="65">
        <f>D10+E10+F10</f>
        <v>123.89746388190954</v>
      </c>
      <c r="I10" s="112"/>
      <c r="J10" s="112"/>
      <c r="K10" s="112"/>
      <c r="L10" s="112"/>
    </row>
    <row r="11" spans="1:7" ht="21" customHeight="1" hidden="1" outlineLevel="1">
      <c r="A11" s="205"/>
      <c r="B11" s="186"/>
      <c r="C11" s="186"/>
      <c r="D11" s="186"/>
      <c r="E11" s="186"/>
      <c r="F11" s="186"/>
      <c r="G11" s="187"/>
    </row>
    <row r="12" spans="1:9" s="59" customFormat="1" ht="22.5" customHeight="1" collapsed="1">
      <c r="A12" s="140" t="s">
        <v>140</v>
      </c>
      <c r="B12" s="197">
        <v>43</v>
      </c>
      <c r="C12" s="199">
        <v>1273.6</v>
      </c>
      <c r="D12" s="27">
        <f>D10</f>
        <v>55.82302135678392</v>
      </c>
      <c r="E12" s="27">
        <f>E10</f>
        <v>35.11239007537689</v>
      </c>
      <c r="F12" s="27">
        <f>F10</f>
        <v>32.96205244974875</v>
      </c>
      <c r="G12" s="65">
        <f>D12+E12+F12</f>
        <v>123.89746388190954</v>
      </c>
      <c r="I12" s="60"/>
    </row>
    <row r="13" spans="1:9" s="59" customFormat="1" ht="22.5" customHeight="1">
      <c r="A13" s="140" t="s">
        <v>141</v>
      </c>
      <c r="B13" s="198"/>
      <c r="C13" s="200"/>
      <c r="D13" s="65">
        <f>D12*1.18</f>
        <v>65.87116520100503</v>
      </c>
      <c r="E13" s="65">
        <f>E12*1.18</f>
        <v>41.432620288944726</v>
      </c>
      <c r="F13" s="65">
        <f>F12*1.18</f>
        <v>38.89522189070352</v>
      </c>
      <c r="G13" s="65">
        <f>D13+E13+F13</f>
        <v>146.19900738065326</v>
      </c>
      <c r="I13" s="60"/>
    </row>
    <row r="14" spans="1:9" s="59" customFormat="1" ht="14.25">
      <c r="A14" s="57"/>
      <c r="B14" s="56"/>
      <c r="C14" s="66"/>
      <c r="D14" s="155"/>
      <c r="E14" s="155"/>
      <c r="F14" s="155"/>
      <c r="G14" s="155"/>
      <c r="I14" s="60"/>
    </row>
    <row r="15" spans="1:10" ht="14.25">
      <c r="A15" s="57"/>
      <c r="B15" s="56"/>
      <c r="C15" s="56"/>
      <c r="D15" s="58"/>
      <c r="E15" s="58"/>
      <c r="F15" s="58"/>
      <c r="G15" s="58"/>
      <c r="J15" s="112" t="e">
        <f>(ТУ!C17+'Проверка ТУ'!C17+'Факт.действ.'!C17)/'C1'!D7</f>
        <v>#DIV/0!</v>
      </c>
    </row>
    <row r="16" spans="1:7" s="62" customFormat="1" ht="14.25">
      <c r="A16" s="61" t="s">
        <v>161</v>
      </c>
      <c r="B16" s="56"/>
      <c r="C16" s="56"/>
      <c r="D16" s="56"/>
      <c r="E16" s="56"/>
      <c r="F16" s="56"/>
      <c r="G16" s="58"/>
    </row>
    <row r="17" ht="14.25">
      <c r="C17" s="5"/>
    </row>
    <row r="18" ht="14.25">
      <c r="C18" s="5"/>
    </row>
    <row r="19" ht="14.25">
      <c r="C19" s="5"/>
    </row>
    <row r="20" spans="1:7" ht="14.25">
      <c r="A20" s="73" t="s">
        <v>138</v>
      </c>
      <c r="B20" s="71"/>
      <c r="C20" s="72"/>
      <c r="D20" s="72"/>
      <c r="E20" s="73" t="s">
        <v>115</v>
      </c>
      <c r="F20" s="72"/>
      <c r="G20" s="72"/>
    </row>
  </sheetData>
  <sheetProtection/>
  <mergeCells count="6">
    <mergeCell ref="B12:B13"/>
    <mergeCell ref="C12:C13"/>
    <mergeCell ref="A2:G2"/>
    <mergeCell ref="A7:A8"/>
    <mergeCell ref="A3:G3"/>
    <mergeCell ref="A11:G11"/>
  </mergeCells>
  <printOptions/>
  <pageMargins left="0.31496062992125984" right="0.31496062992125984" top="0.7480314960629921" bottom="0.35433070866141736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7C80"/>
  </sheetPr>
  <dimension ref="A1:H25"/>
  <sheetViews>
    <sheetView view="pageBreakPreview" zoomScaleNormal="90" zoomScaleSheetLayoutView="100" zoomScalePageLayoutView="0" workbookViewId="0" topLeftCell="A12">
      <selection activeCell="D7" sqref="D7:D8"/>
    </sheetView>
  </sheetViews>
  <sheetFormatPr defaultColWidth="9.140625" defaultRowHeight="15"/>
  <cols>
    <col min="1" max="1" width="4.7109375" style="4" customWidth="1"/>
    <col min="2" max="2" width="52.00390625" style="5" customWidth="1"/>
    <col min="3" max="3" width="12.7109375" style="8" customWidth="1"/>
    <col min="4" max="4" width="17.28125" style="5" customWidth="1"/>
    <col min="5" max="5" width="13.7109375" style="5" customWidth="1"/>
    <col min="6" max="6" width="14.7109375" style="5" customWidth="1"/>
    <col min="7" max="16384" width="8.8515625" style="5" customWidth="1"/>
  </cols>
  <sheetData>
    <row r="1" spans="1:8" ht="20.25" customHeight="1">
      <c r="A1" s="201" t="s">
        <v>144</v>
      </c>
      <c r="B1" s="201"/>
      <c r="C1" s="201"/>
      <c r="D1" s="201"/>
      <c r="E1" s="142"/>
      <c r="F1" s="142"/>
      <c r="G1" s="142"/>
      <c r="H1" s="142"/>
    </row>
    <row r="2" spans="1:8" ht="58.5" customHeight="1">
      <c r="A2" s="204" t="s">
        <v>145</v>
      </c>
      <c r="B2" s="204"/>
      <c r="C2" s="204"/>
      <c r="D2" s="204"/>
      <c r="E2" s="143"/>
      <c r="F2" s="143"/>
      <c r="G2" s="143"/>
      <c r="H2" s="143"/>
    </row>
    <row r="4" spans="1:6" s="6" customFormat="1" ht="73.5" customHeight="1">
      <c r="A4" s="1" t="s">
        <v>4</v>
      </c>
      <c r="B4" s="1" t="s">
        <v>5</v>
      </c>
      <c r="C4" s="1" t="s">
        <v>17</v>
      </c>
      <c r="D4" s="1" t="s">
        <v>146</v>
      </c>
      <c r="E4" s="1" t="s">
        <v>147</v>
      </c>
      <c r="F4" s="1" t="s">
        <v>146</v>
      </c>
    </row>
    <row r="5" spans="1:6" s="4" customFormat="1" ht="14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s="50" customFormat="1" ht="33.75" customHeight="1">
      <c r="A6" s="144" t="s">
        <v>9</v>
      </c>
      <c r="B6" s="208" t="s">
        <v>148</v>
      </c>
      <c r="C6" s="208"/>
      <c r="D6" s="208"/>
      <c r="E6" s="145"/>
      <c r="F6" s="146"/>
    </row>
    <row r="7" spans="1:6" ht="43.5" customHeight="1">
      <c r="A7" s="7" t="s">
        <v>49</v>
      </c>
      <c r="B7" s="147" t="s">
        <v>18</v>
      </c>
      <c r="C7" s="206">
        <v>0.4</v>
      </c>
      <c r="D7" s="27">
        <v>119169.35</v>
      </c>
      <c r="E7" s="27">
        <v>5.35</v>
      </c>
      <c r="F7" s="27">
        <f>D7*E7</f>
        <v>637556.0225</v>
      </c>
    </row>
    <row r="8" spans="1:6" ht="43.5" customHeight="1">
      <c r="A8" s="7" t="s">
        <v>51</v>
      </c>
      <c r="B8" s="147" t="s">
        <v>19</v>
      </c>
      <c r="C8" s="207"/>
      <c r="D8" s="27">
        <v>148836.26</v>
      </c>
      <c r="E8" s="27">
        <v>5.35</v>
      </c>
      <c r="F8" s="27">
        <f>D8/E8</f>
        <v>27819.861682242994</v>
      </c>
    </row>
    <row r="9" spans="1:6" ht="43.5" customHeight="1">
      <c r="A9" s="7" t="s">
        <v>53</v>
      </c>
      <c r="B9" s="147" t="s">
        <v>20</v>
      </c>
      <c r="C9" s="206" t="s">
        <v>22</v>
      </c>
      <c r="D9" s="27">
        <v>138040.8</v>
      </c>
      <c r="E9" s="27">
        <v>5.35</v>
      </c>
      <c r="F9" s="27">
        <f>D9/E9</f>
        <v>25802.018691588786</v>
      </c>
    </row>
    <row r="10" spans="1:6" ht="28.5" customHeight="1">
      <c r="A10" s="7" t="s">
        <v>55</v>
      </c>
      <c r="B10" s="147" t="s">
        <v>21</v>
      </c>
      <c r="C10" s="209"/>
      <c r="D10" s="27">
        <v>108609.35</v>
      </c>
      <c r="E10" s="27">
        <v>5.35</v>
      </c>
      <c r="F10" s="27">
        <f>D10/E10</f>
        <v>20300.813084112153</v>
      </c>
    </row>
    <row r="11" spans="1:6" ht="28.5" customHeight="1">
      <c r="A11" s="7" t="s">
        <v>57</v>
      </c>
      <c r="B11" s="147" t="s">
        <v>124</v>
      </c>
      <c r="C11" s="209"/>
      <c r="D11" s="27">
        <v>138650.14</v>
      </c>
      <c r="E11" s="27">
        <v>5.35</v>
      </c>
      <c r="F11" s="27">
        <f>D11/E11</f>
        <v>25915.914018691594</v>
      </c>
    </row>
    <row r="12" spans="1:6" s="50" customFormat="1" ht="33" customHeight="1">
      <c r="A12" s="144" t="s">
        <v>10</v>
      </c>
      <c r="B12" s="208" t="s">
        <v>149</v>
      </c>
      <c r="C12" s="208"/>
      <c r="D12" s="208"/>
      <c r="E12" s="145"/>
      <c r="F12" s="146"/>
    </row>
    <row r="13" spans="1:6" ht="28.5">
      <c r="A13" s="148" t="s">
        <v>150</v>
      </c>
      <c r="B13" s="147" t="s">
        <v>128</v>
      </c>
      <c r="C13" s="206">
        <v>0.4</v>
      </c>
      <c r="D13" s="27">
        <v>214680</v>
      </c>
      <c r="E13" s="27">
        <v>5.35</v>
      </c>
      <c r="F13" s="27"/>
    </row>
    <row r="14" spans="1:6" ht="18" customHeight="1">
      <c r="A14" s="149" t="s">
        <v>151</v>
      </c>
      <c r="B14" s="147" t="s">
        <v>126</v>
      </c>
      <c r="C14" s="207"/>
      <c r="D14" s="27">
        <v>419128</v>
      </c>
      <c r="E14" s="27">
        <v>5.35</v>
      </c>
      <c r="F14" s="27"/>
    </row>
    <row r="15" spans="1:6" ht="31.5" customHeight="1">
      <c r="A15" s="149" t="s">
        <v>152</v>
      </c>
      <c r="B15" s="147" t="s">
        <v>125</v>
      </c>
      <c r="C15" s="206" t="s">
        <v>22</v>
      </c>
      <c r="D15" s="27">
        <v>284213</v>
      </c>
      <c r="E15" s="27">
        <v>5.35</v>
      </c>
      <c r="F15" s="27"/>
    </row>
    <row r="16" spans="1:6" ht="28.5">
      <c r="A16" s="149" t="s">
        <v>153</v>
      </c>
      <c r="B16" s="147" t="s">
        <v>127</v>
      </c>
      <c r="C16" s="207"/>
      <c r="D16" s="27">
        <v>538190</v>
      </c>
      <c r="E16" s="27">
        <v>5.35</v>
      </c>
      <c r="F16" s="27"/>
    </row>
    <row r="17" spans="1:6" s="50" customFormat="1" ht="33" customHeight="1">
      <c r="A17" s="150" t="s">
        <v>11</v>
      </c>
      <c r="B17" s="208" t="s">
        <v>154</v>
      </c>
      <c r="C17" s="208"/>
      <c r="D17" s="208"/>
      <c r="E17" s="145"/>
      <c r="F17" s="146"/>
    </row>
    <row r="18" spans="1:6" s="72" customFormat="1" ht="28.5">
      <c r="A18" s="7" t="s">
        <v>12</v>
      </c>
      <c r="B18" s="151" t="s">
        <v>155</v>
      </c>
      <c r="C18" s="141" t="s">
        <v>22</v>
      </c>
      <c r="D18" s="65">
        <f>(199004+149581+1380267)/(630*2*0.89)</f>
        <v>1541.6907437132154</v>
      </c>
      <c r="E18" s="65"/>
      <c r="F18" s="65"/>
    </row>
    <row r="19" spans="1:6" s="72" customFormat="1" ht="14.25">
      <c r="A19" s="152"/>
      <c r="B19" s="153"/>
      <c r="C19" s="154"/>
      <c r="D19" s="66"/>
      <c r="E19" s="66"/>
      <c r="F19" s="66"/>
    </row>
    <row r="20" spans="1:6" s="72" customFormat="1" ht="14.25">
      <c r="A20" s="152"/>
      <c r="B20" s="153"/>
      <c r="C20" s="154"/>
      <c r="D20" s="66"/>
      <c r="E20" s="66"/>
      <c r="F20" s="66"/>
    </row>
    <row r="21" spans="1:6" s="72" customFormat="1" ht="14.25">
      <c r="A21" s="152"/>
      <c r="B21" s="153"/>
      <c r="C21" s="154"/>
      <c r="D21" s="66"/>
      <c r="E21" s="66"/>
      <c r="F21" s="66"/>
    </row>
    <row r="22" ht="14.25">
      <c r="F22" s="48"/>
    </row>
    <row r="23" spans="1:4" ht="14.25">
      <c r="A23" s="70" t="s">
        <v>138</v>
      </c>
      <c r="B23" s="71"/>
      <c r="C23" s="72"/>
      <c r="D23" s="73" t="s">
        <v>115</v>
      </c>
    </row>
    <row r="24" ht="14.25">
      <c r="F24" s="48"/>
    </row>
    <row r="25" ht="14.25">
      <c r="F25" s="48"/>
    </row>
  </sheetData>
  <sheetProtection/>
  <mergeCells count="9">
    <mergeCell ref="C13:C14"/>
    <mergeCell ref="C15:C16"/>
    <mergeCell ref="B17:D17"/>
    <mergeCell ref="A1:D1"/>
    <mergeCell ref="A2:D2"/>
    <mergeCell ref="B6:D6"/>
    <mergeCell ref="C7:C8"/>
    <mergeCell ref="C9:C11"/>
    <mergeCell ref="B12:D12"/>
  </mergeCells>
  <printOptions/>
  <pageMargins left="0.7086614173228347" right="0.1968503937007874" top="0.7480314960629921" bottom="0.35433070866141736" header="0.31496062992125984" footer="0.31496062992125984"/>
  <pageSetup horizontalDpi="180" verticalDpi="18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33"/>
  <sheetViews>
    <sheetView zoomScale="90" zoomScaleNormal="90" zoomScalePageLayoutView="0" workbookViewId="0" topLeftCell="A1">
      <selection activeCell="I8" sqref="I8"/>
    </sheetView>
  </sheetViews>
  <sheetFormatPr defaultColWidth="9.140625" defaultRowHeight="15" outlineLevelRow="1"/>
  <cols>
    <col min="1" max="1" width="34.28125" style="5" customWidth="1"/>
    <col min="2" max="2" width="16.421875" style="8" customWidth="1"/>
    <col min="3" max="3" width="16.57421875" style="5" customWidth="1"/>
    <col min="4" max="4" width="16.7109375" style="5" customWidth="1"/>
    <col min="5" max="5" width="17.00390625" style="5" customWidth="1"/>
    <col min="6" max="6" width="16.7109375" style="5" customWidth="1"/>
    <col min="7" max="7" width="17.28125" style="5" customWidth="1"/>
    <col min="8" max="8" width="15.28125" style="5" customWidth="1"/>
    <col min="9" max="16384" width="8.8515625" style="5" customWidth="1"/>
  </cols>
  <sheetData>
    <row r="1" ht="14.25">
      <c r="F1" s="4"/>
    </row>
    <row r="2" spans="1:7" ht="21.75" customHeight="1">
      <c r="A2" s="201" t="s">
        <v>137</v>
      </c>
      <c r="B2" s="201"/>
      <c r="C2" s="201"/>
      <c r="D2" s="201"/>
      <c r="E2" s="201"/>
      <c r="F2" s="201"/>
      <c r="G2" s="201"/>
    </row>
    <row r="3" spans="1:7" ht="48" customHeight="1">
      <c r="A3" s="204" t="s">
        <v>136</v>
      </c>
      <c r="B3" s="204"/>
      <c r="C3" s="204"/>
      <c r="D3" s="204"/>
      <c r="E3" s="204"/>
      <c r="F3" s="204"/>
      <c r="G3" s="204"/>
    </row>
    <row r="5" spans="1:7" s="6" customFormat="1" ht="105" customHeight="1">
      <c r="A5" s="1" t="s">
        <v>130</v>
      </c>
      <c r="B5" s="1" t="s">
        <v>162</v>
      </c>
      <c r="C5" s="1" t="s">
        <v>163</v>
      </c>
      <c r="D5" s="1" t="s">
        <v>131</v>
      </c>
      <c r="E5" s="1" t="s">
        <v>132</v>
      </c>
      <c r="F5" s="1" t="s">
        <v>133</v>
      </c>
      <c r="G5" s="1" t="s">
        <v>142</v>
      </c>
    </row>
    <row r="6" spans="1:7" s="4" customFormat="1" ht="14.25">
      <c r="A6" s="7">
        <v>1</v>
      </c>
      <c r="B6" s="7">
        <v>2</v>
      </c>
      <c r="C6" s="7">
        <v>4</v>
      </c>
      <c r="D6" s="7">
        <v>5</v>
      </c>
      <c r="E6" s="7">
        <v>6</v>
      </c>
      <c r="F6" s="7">
        <v>7</v>
      </c>
      <c r="G6" s="7">
        <v>8</v>
      </c>
    </row>
    <row r="7" spans="1:7" ht="22.5" customHeight="1" hidden="1" outlineLevel="1">
      <c r="A7" s="202" t="s">
        <v>139</v>
      </c>
      <c r="B7" s="132"/>
      <c r="C7" s="133"/>
      <c r="D7" s="133"/>
      <c r="E7" s="133"/>
      <c r="F7" s="133"/>
      <c r="G7" s="133"/>
    </row>
    <row r="8" spans="1:8" s="59" customFormat="1" ht="22.5" customHeight="1" hidden="1" outlineLevel="1">
      <c r="A8" s="203"/>
      <c r="B8" s="132"/>
      <c r="C8" s="133"/>
      <c r="D8" s="133"/>
      <c r="E8" s="133"/>
      <c r="F8" s="133"/>
      <c r="G8" s="133"/>
      <c r="H8" s="124"/>
    </row>
    <row r="9" spans="1:8" s="59" customFormat="1" ht="22.5" customHeight="1" hidden="1" outlineLevel="1">
      <c r="A9" s="134" t="s">
        <v>117</v>
      </c>
      <c r="B9" s="132"/>
      <c r="C9" s="133"/>
      <c r="D9" s="133"/>
      <c r="E9" s="133"/>
      <c r="F9" s="133"/>
      <c r="G9" s="133"/>
      <c r="H9" s="124"/>
    </row>
    <row r="10" spans="1:8" s="59" customFormat="1" ht="22.5" customHeight="1" hidden="1" outlineLevel="1">
      <c r="A10" s="127"/>
      <c r="B10" s="14">
        <v>43</v>
      </c>
      <c r="C10" s="128">
        <v>1273.6</v>
      </c>
      <c r="D10" s="65">
        <f>ТУ!C17*B10/'Р1'!C10</f>
        <v>55.82302135678392</v>
      </c>
      <c r="E10" s="65">
        <f>'Проверка ТУ'!C17*B10/'Р1'!C10</f>
        <v>35.11239007537689</v>
      </c>
      <c r="F10" s="65">
        <f>'Факт.действ.'!C17*B10/'Р1'!C10</f>
        <v>32.96205244974875</v>
      </c>
      <c r="G10" s="65">
        <f>D10+E10+F10</f>
        <v>123.89746388190954</v>
      </c>
      <c r="H10" s="124"/>
    </row>
    <row r="11" spans="1:8" s="59" customFormat="1" ht="22.5" customHeight="1" hidden="1" outlineLevel="1">
      <c r="A11" s="205"/>
      <c r="B11" s="186"/>
      <c r="C11" s="186"/>
      <c r="D11" s="186"/>
      <c r="E11" s="186"/>
      <c r="F11" s="186"/>
      <c r="G11" s="187"/>
      <c r="H11" s="124"/>
    </row>
    <row r="12" spans="1:8" s="59" customFormat="1" ht="22.5" customHeight="1" collapsed="1">
      <c r="A12" s="140" t="s">
        <v>140</v>
      </c>
      <c r="B12" s="197">
        <v>43</v>
      </c>
      <c r="C12" s="199">
        <v>1273.6</v>
      </c>
      <c r="D12" s="27">
        <f>D10</f>
        <v>55.82302135678392</v>
      </c>
      <c r="E12" s="27">
        <f>E10</f>
        <v>35.11239007537689</v>
      </c>
      <c r="F12" s="27">
        <f>F10</f>
        <v>32.96205244974875</v>
      </c>
      <c r="G12" s="65">
        <f>D12+E12+F12</f>
        <v>123.89746388190954</v>
      </c>
      <c r="H12" s="139"/>
    </row>
    <row r="13" spans="1:8" s="59" customFormat="1" ht="22.5" customHeight="1">
      <c r="A13" s="140" t="s">
        <v>141</v>
      </c>
      <c r="B13" s="198"/>
      <c r="C13" s="200"/>
      <c r="D13" s="65">
        <f>D12*1.18</f>
        <v>65.87116520100503</v>
      </c>
      <c r="E13" s="65">
        <f>E12*1.18</f>
        <v>41.432620288944726</v>
      </c>
      <c r="F13" s="65">
        <f>F12*1.18</f>
        <v>38.89522189070352</v>
      </c>
      <c r="G13" s="65">
        <f>D13+E13+F13</f>
        <v>146.19900738065326</v>
      </c>
      <c r="H13" s="124"/>
    </row>
    <row r="14" spans="1:8" s="59" customFormat="1" ht="14.25">
      <c r="A14" s="57"/>
      <c r="B14" s="56"/>
      <c r="C14" s="66"/>
      <c r="D14" s="66"/>
      <c r="E14" s="66"/>
      <c r="F14" s="66"/>
      <c r="G14" s="66"/>
      <c r="H14" s="124"/>
    </row>
    <row r="15" spans="1:12" s="59" customFormat="1" ht="14.25">
      <c r="A15" s="57"/>
      <c r="B15" s="56"/>
      <c r="C15" s="56"/>
      <c r="D15" s="58"/>
      <c r="E15" s="58"/>
      <c r="F15" s="58"/>
      <c r="G15" s="58"/>
      <c r="H15" s="139">
        <f>ТУ!C17/'Р1'!C12</f>
        <v>1.298209798994975</v>
      </c>
      <c r="I15" s="139">
        <f>'Проверка ТУ'!C17/'Р1'!C12</f>
        <v>0.8165672110552764</v>
      </c>
      <c r="J15" s="139">
        <f>'Факт.действ.'!C17/'Р1'!C12</f>
        <v>0.7665593592964824</v>
      </c>
      <c r="K15" s="158">
        <f>SUM(H15:J15)</f>
        <v>2.8813363693467338</v>
      </c>
      <c r="L15" s="139"/>
    </row>
    <row r="16" spans="1:12" s="59" customFormat="1" ht="14.25">
      <c r="A16" s="61" t="s">
        <v>161</v>
      </c>
      <c r="B16" s="56"/>
      <c r="C16" s="56"/>
      <c r="D16" s="56"/>
      <c r="E16" s="56"/>
      <c r="F16" s="56"/>
      <c r="G16" s="58"/>
      <c r="H16" s="139"/>
      <c r="I16" s="139"/>
      <c r="J16" s="139"/>
      <c r="K16" s="139"/>
      <c r="L16" s="139"/>
    </row>
    <row r="17" spans="8:12" ht="14.25">
      <c r="H17" s="156"/>
      <c r="I17" s="157"/>
      <c r="J17" s="157"/>
      <c r="K17" s="157"/>
      <c r="L17" s="157"/>
    </row>
    <row r="18" spans="8:12" ht="14.25">
      <c r="H18" s="156"/>
      <c r="I18" s="157"/>
      <c r="J18" s="157"/>
      <c r="K18" s="157"/>
      <c r="L18" s="157"/>
    </row>
    <row r="19" spans="8:12" ht="14.25">
      <c r="H19" s="156"/>
      <c r="I19" s="157"/>
      <c r="J19" s="157"/>
      <c r="K19" s="157"/>
      <c r="L19" s="157"/>
    </row>
    <row r="20" ht="14.25">
      <c r="H20" s="125"/>
    </row>
    <row r="21" spans="1:5" s="62" customFormat="1" ht="14.25">
      <c r="A21" s="73" t="s">
        <v>138</v>
      </c>
      <c r="B21" s="63"/>
      <c r="E21" s="73" t="s">
        <v>115</v>
      </c>
    </row>
    <row r="29" ht="14.25">
      <c r="C29" s="126"/>
    </row>
    <row r="30" spans="3:5" ht="14.25">
      <c r="C30" s="112"/>
      <c r="E30" s="126"/>
    </row>
    <row r="31" spans="3:7" ht="14.25">
      <c r="C31" s="112"/>
      <c r="D31" s="112"/>
      <c r="E31" s="112"/>
      <c r="F31" s="112"/>
      <c r="G31" s="112"/>
    </row>
    <row r="32" spans="3:7" ht="14.25">
      <c r="C32" s="112"/>
      <c r="G32" s="112"/>
    </row>
    <row r="33" ht="14.25">
      <c r="C33" s="123"/>
    </row>
  </sheetData>
  <sheetProtection/>
  <mergeCells count="6">
    <mergeCell ref="A11:G11"/>
    <mergeCell ref="A2:G2"/>
    <mergeCell ref="A3:G3"/>
    <mergeCell ref="A7:A8"/>
    <mergeCell ref="B12:B13"/>
    <mergeCell ref="C12:C13"/>
  </mergeCells>
  <printOptions/>
  <pageMargins left="0.5118110236220472" right="0.5118110236220472" top="0.7480314960629921" bottom="0.35433070866141736" header="0.31496062992125984" footer="0.31496062992125984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Y35"/>
  <sheetViews>
    <sheetView view="pageBreakPreview" zoomScale="90" zoomScaleNormal="90" zoomScaleSheetLayoutView="90" zoomScalePageLayoutView="0" workbookViewId="0" topLeftCell="A7">
      <selection activeCell="C34" sqref="C34"/>
    </sheetView>
  </sheetViews>
  <sheetFormatPr defaultColWidth="5.57421875" defaultRowHeight="15" outlineLevelCol="1"/>
  <cols>
    <col min="1" max="1" width="5.57421875" style="28" customWidth="1"/>
    <col min="2" max="2" width="47.7109375" style="28" customWidth="1"/>
    <col min="3" max="3" width="35.421875" style="28" customWidth="1"/>
    <col min="4" max="4" width="9.140625" style="28" customWidth="1"/>
    <col min="5" max="5" width="24.28125" style="28" customWidth="1" outlineLevel="1"/>
    <col min="6" max="6" width="4.7109375" style="28" customWidth="1" outlineLevel="1"/>
    <col min="7" max="7" width="5.421875" style="28" customWidth="1" outlineLevel="1"/>
    <col min="8" max="8" width="7.57421875" style="28" customWidth="1" outlineLevel="1"/>
    <col min="9" max="9" width="10.140625" style="28" customWidth="1" outlineLevel="1"/>
    <col min="10" max="10" width="5.28125" style="28" customWidth="1" outlineLevel="1"/>
    <col min="11" max="11" width="8.140625" style="28" customWidth="1" outlineLevel="1"/>
    <col min="12" max="12" width="8.28125" style="28" customWidth="1" outlineLevel="1"/>
    <col min="13" max="13" width="6.00390625" style="28" customWidth="1" outlineLevel="1"/>
    <col min="14" max="14" width="8.7109375" style="28" customWidth="1" outlineLevel="1"/>
    <col min="15" max="15" width="11.7109375" style="30" customWidth="1" outlineLevel="1"/>
    <col min="16" max="16" width="10.7109375" style="30" customWidth="1" outlineLevel="1"/>
    <col min="17" max="17" width="10.8515625" style="30" customWidth="1" outlineLevel="1"/>
    <col min="18" max="18" width="10.7109375" style="30" customWidth="1" outlineLevel="1"/>
    <col min="19" max="19" width="10.8515625" style="30" customWidth="1" outlineLevel="1"/>
    <col min="20" max="20" width="9.140625" style="31" customWidth="1"/>
    <col min="21" max="255" width="8.8515625" style="31" customWidth="1"/>
    <col min="256" max="16384" width="5.57421875" style="31" customWidth="1"/>
  </cols>
  <sheetData>
    <row r="1" spans="3:25" ht="15">
      <c r="C1" s="29" t="s">
        <v>84</v>
      </c>
      <c r="P1" s="103" t="s">
        <v>84</v>
      </c>
      <c r="R1" s="104"/>
      <c r="S1" s="104"/>
      <c r="T1" s="104"/>
      <c r="U1" s="84"/>
      <c r="V1" s="84"/>
      <c r="W1" s="84"/>
      <c r="X1" s="84"/>
      <c r="Y1" s="84"/>
    </row>
    <row r="2" spans="3:20" ht="21" customHeight="1">
      <c r="C2" s="29" t="s">
        <v>85</v>
      </c>
      <c r="P2" s="103" t="s">
        <v>85</v>
      </c>
      <c r="R2" s="104"/>
      <c r="S2" s="104"/>
      <c r="T2" s="104"/>
    </row>
    <row r="3" spans="3:20" ht="26.25" customHeight="1">
      <c r="C3" s="29" t="s">
        <v>156</v>
      </c>
      <c r="P3" s="103" t="s">
        <v>160</v>
      </c>
      <c r="R3" s="104"/>
      <c r="S3" s="104"/>
      <c r="T3" s="104"/>
    </row>
    <row r="4" spans="16:20" ht="20.25" customHeight="1">
      <c r="P4" s="103" t="s">
        <v>159</v>
      </c>
      <c r="R4" s="104"/>
      <c r="S4" s="104"/>
      <c r="T4" s="104"/>
    </row>
    <row r="6" spans="1:19" ht="46.5" customHeight="1">
      <c r="A6" s="221" t="s">
        <v>157</v>
      </c>
      <c r="B6" s="221"/>
      <c r="C6" s="221"/>
      <c r="J6" s="84" t="s">
        <v>158</v>
      </c>
      <c r="K6" s="84"/>
      <c r="L6" s="84"/>
      <c r="M6" s="84"/>
      <c r="N6" s="84"/>
      <c r="O6" s="84"/>
      <c r="P6" s="84"/>
      <c r="Q6" s="84"/>
      <c r="R6" s="84"/>
      <c r="S6" s="84"/>
    </row>
    <row r="7" ht="21" customHeight="1"/>
    <row r="8" spans="5:19" ht="15.75" customHeight="1">
      <c r="E8" s="222" t="s">
        <v>86</v>
      </c>
      <c r="F8" s="210" t="s">
        <v>87</v>
      </c>
      <c r="G8" s="212" t="s">
        <v>88</v>
      </c>
      <c r="H8" s="214" t="s">
        <v>89</v>
      </c>
      <c r="I8" s="216" t="s">
        <v>90</v>
      </c>
      <c r="J8" s="218" t="s">
        <v>91</v>
      </c>
      <c r="K8" s="219"/>
      <c r="L8" s="219"/>
      <c r="M8" s="219"/>
      <c r="N8" s="219"/>
      <c r="O8" s="220"/>
      <c r="P8" s="224" t="s">
        <v>92</v>
      </c>
      <c r="Q8" s="226" t="s">
        <v>93</v>
      </c>
      <c r="R8" s="226" t="s">
        <v>116</v>
      </c>
      <c r="S8" s="226" t="s">
        <v>94</v>
      </c>
    </row>
    <row r="9" spans="1:19" ht="33" customHeight="1">
      <c r="A9" s="32" t="s">
        <v>4</v>
      </c>
      <c r="B9" s="32" t="s">
        <v>105</v>
      </c>
      <c r="C9" s="32" t="s">
        <v>106</v>
      </c>
      <c r="E9" s="223"/>
      <c r="F9" s="211"/>
      <c r="G9" s="213"/>
      <c r="H9" s="215"/>
      <c r="I9" s="217"/>
      <c r="J9" s="218" t="s">
        <v>166</v>
      </c>
      <c r="K9" s="220"/>
      <c r="L9" s="216" t="s">
        <v>96</v>
      </c>
      <c r="M9" s="228" t="s">
        <v>97</v>
      </c>
      <c r="N9" s="229"/>
      <c r="O9" s="216" t="s">
        <v>98</v>
      </c>
      <c r="P9" s="225"/>
      <c r="Q9" s="227"/>
      <c r="R9" s="227"/>
      <c r="S9" s="227"/>
    </row>
    <row r="10" spans="1:19" ht="26.25" customHeight="1">
      <c r="A10" s="33">
        <v>1</v>
      </c>
      <c r="B10" s="34" t="s">
        <v>107</v>
      </c>
      <c r="C10" s="35">
        <f>ROUND(S13,2)</f>
        <v>649.43</v>
      </c>
      <c r="E10" s="223"/>
      <c r="F10" s="211"/>
      <c r="G10" s="213"/>
      <c r="H10" s="215"/>
      <c r="I10" s="217"/>
      <c r="J10" s="85" t="s">
        <v>99</v>
      </c>
      <c r="K10" s="86" t="s">
        <v>100</v>
      </c>
      <c r="L10" s="217"/>
      <c r="M10" s="87" t="s">
        <v>101</v>
      </c>
      <c r="N10" s="88" t="s">
        <v>102</v>
      </c>
      <c r="O10" s="217"/>
      <c r="P10" s="225"/>
      <c r="Q10" s="227"/>
      <c r="R10" s="227"/>
      <c r="S10" s="227"/>
    </row>
    <row r="11" spans="1:19" ht="15">
      <c r="A11" s="33">
        <v>2</v>
      </c>
      <c r="B11" s="34" t="s">
        <v>109</v>
      </c>
      <c r="C11" s="35">
        <f>ROUND(C10*0.3,2)</f>
        <v>194.83</v>
      </c>
      <c r="E11" s="89" t="s">
        <v>103</v>
      </c>
      <c r="F11" s="90">
        <v>9</v>
      </c>
      <c r="G11" s="90">
        <v>1</v>
      </c>
      <c r="H11" s="91">
        <v>1.866</v>
      </c>
      <c r="I11" s="92">
        <f>((5327*1.064*1.25*H11)+(5668*1.064*1.25*H11))/2</f>
        <v>13643.585550000002</v>
      </c>
      <c r="J11" s="93">
        <v>10</v>
      </c>
      <c r="K11" s="93">
        <f>I11*0.1</f>
        <v>1364.3585550000003</v>
      </c>
      <c r="L11" s="93"/>
      <c r="M11" s="93">
        <v>6.5</v>
      </c>
      <c r="N11" s="92">
        <f>(I11+K11+L11)*M11/100</f>
        <v>975.5163668250002</v>
      </c>
      <c r="O11" s="92">
        <f>(I11+K11+L11+N11)*0.6</f>
        <v>9590.076283095</v>
      </c>
      <c r="P11" s="92">
        <f>I11+K11+L11+O11+N11</f>
        <v>25573.536754920002</v>
      </c>
      <c r="Q11" s="94">
        <f>ROUND(P11/164.5,2)</f>
        <v>155.46</v>
      </c>
      <c r="R11" s="94">
        <f>145/60</f>
        <v>2.4166666666666665</v>
      </c>
      <c r="S11" s="95">
        <f>ROUND(Q11*R11,2)</f>
        <v>375.7</v>
      </c>
    </row>
    <row r="12" spans="1:19" ht="15">
      <c r="A12" s="33">
        <v>3</v>
      </c>
      <c r="B12" s="34" t="s">
        <v>110</v>
      </c>
      <c r="C12" s="35">
        <f>ROUND(C10*0.002,2)</f>
        <v>1.3</v>
      </c>
      <c r="E12" s="89" t="s">
        <v>104</v>
      </c>
      <c r="F12" s="96">
        <v>12</v>
      </c>
      <c r="G12" s="96">
        <v>1</v>
      </c>
      <c r="H12" s="97">
        <v>2.535</v>
      </c>
      <c r="I12" s="92">
        <f>((5327*1.064*1.25*H12)+(5668*1.064*1.25*H12))/2</f>
        <v>18535.096125000004</v>
      </c>
      <c r="J12" s="98"/>
      <c r="K12" s="98"/>
      <c r="L12" s="98"/>
      <c r="M12" s="98">
        <v>11.1</v>
      </c>
      <c r="N12" s="101">
        <f>(I12+K12+L12)*M12/100</f>
        <v>2057.3956698750003</v>
      </c>
      <c r="O12" s="101">
        <f>(I12+K12+L12+N12)*0.6</f>
        <v>12355.495076925003</v>
      </c>
      <c r="P12" s="101">
        <f>I12+K12+L12+O12+N12</f>
        <v>32947.98687180001</v>
      </c>
      <c r="Q12" s="94">
        <f>ROUND(P12/164.5,2)</f>
        <v>200.29</v>
      </c>
      <c r="R12" s="94">
        <f>82/60</f>
        <v>1.3666666666666667</v>
      </c>
      <c r="S12" s="95">
        <f>ROUND(Q12*R12,2)</f>
        <v>273.73</v>
      </c>
    </row>
    <row r="13" spans="1:20" ht="15">
      <c r="A13" s="33">
        <v>4</v>
      </c>
      <c r="B13" s="34" t="s">
        <v>111</v>
      </c>
      <c r="C13" s="35">
        <f>ROUND(C10*0.6377,2)</f>
        <v>414.14</v>
      </c>
      <c r="E13" s="89" t="s">
        <v>108</v>
      </c>
      <c r="F13" s="100"/>
      <c r="G13" s="96"/>
      <c r="H13" s="97"/>
      <c r="I13" s="92"/>
      <c r="J13" s="101"/>
      <c r="K13" s="99"/>
      <c r="L13" s="99"/>
      <c r="M13" s="102"/>
      <c r="N13" s="99"/>
      <c r="O13" s="99"/>
      <c r="P13" s="99"/>
      <c r="Q13" s="94"/>
      <c r="R13" s="94">
        <f>SUM(R11:R12)</f>
        <v>3.783333333333333</v>
      </c>
      <c r="S13" s="94">
        <f>SUM(S11:S12)</f>
        <v>649.4300000000001</v>
      </c>
      <c r="T13" s="40"/>
    </row>
    <row r="14" spans="1:20" ht="15">
      <c r="A14" s="33">
        <v>5</v>
      </c>
      <c r="B14" s="34" t="s">
        <v>168</v>
      </c>
      <c r="C14" s="35">
        <f>944.92/60*20</f>
        <v>314.97333333333336</v>
      </c>
      <c r="E14" s="159"/>
      <c r="F14" s="160"/>
      <c r="G14" s="161"/>
      <c r="H14" s="162"/>
      <c r="I14" s="163"/>
      <c r="J14" s="164"/>
      <c r="K14" s="165"/>
      <c r="L14" s="165"/>
      <c r="M14" s="166"/>
      <c r="N14" s="165"/>
      <c r="O14" s="165"/>
      <c r="P14" s="165"/>
      <c r="Q14" s="167"/>
      <c r="R14" s="167"/>
      <c r="S14" s="167"/>
      <c r="T14" s="40"/>
    </row>
    <row r="15" spans="1:19" ht="15">
      <c r="A15" s="33">
        <v>6</v>
      </c>
      <c r="B15" s="34" t="s">
        <v>112</v>
      </c>
      <c r="C15" s="35">
        <f>ROUND(SUM(C10:C14),2)</f>
        <v>1574.67</v>
      </c>
      <c r="R15" s="40"/>
      <c r="S15" s="31"/>
    </row>
    <row r="16" spans="1:20" ht="15">
      <c r="A16" s="33">
        <v>7</v>
      </c>
      <c r="B16" s="34" t="s">
        <v>122</v>
      </c>
      <c r="C16" s="35">
        <f>ROUND(C15*0.05,2)</f>
        <v>78.73</v>
      </c>
      <c r="R16" s="36"/>
      <c r="T16" s="40"/>
    </row>
    <row r="17" spans="1:19" ht="15">
      <c r="A17" s="33">
        <v>8</v>
      </c>
      <c r="B17" s="34" t="s">
        <v>123</v>
      </c>
      <c r="C17" s="35">
        <f>C15+C16</f>
        <v>1653.4</v>
      </c>
      <c r="N17" s="37"/>
      <c r="O17" s="38"/>
      <c r="P17" s="38"/>
      <c r="Q17" s="39"/>
      <c r="R17" s="38"/>
      <c r="S17" s="39"/>
    </row>
    <row r="18" spans="1:19" ht="15">
      <c r="A18" s="33">
        <v>9</v>
      </c>
      <c r="B18" s="34" t="s">
        <v>113</v>
      </c>
      <c r="C18" s="35">
        <f>ROUND(C17*0.18,2)</f>
        <v>297.61</v>
      </c>
      <c r="E18" s="28" t="s">
        <v>138</v>
      </c>
      <c r="G18" s="105"/>
      <c r="H18" s="106"/>
      <c r="K18" s="106"/>
      <c r="N18" s="37"/>
      <c r="O18" s="41"/>
      <c r="P18" s="41"/>
      <c r="Q18" s="47" t="s">
        <v>115</v>
      </c>
      <c r="R18" s="41"/>
      <c r="S18" s="41"/>
    </row>
    <row r="19" spans="1:19" ht="15">
      <c r="A19" s="33">
        <v>10</v>
      </c>
      <c r="B19" s="42" t="s">
        <v>114</v>
      </c>
      <c r="C19" s="43">
        <f>C17+C18</f>
        <v>1951.0100000000002</v>
      </c>
      <c r="N19" s="37"/>
      <c r="O19" s="41"/>
      <c r="P19" s="41"/>
      <c r="Q19" s="41"/>
      <c r="R19" s="41"/>
      <c r="S19" s="41"/>
    </row>
    <row r="20" spans="1:3" ht="15">
      <c r="A20" s="44"/>
      <c r="B20" s="45"/>
      <c r="C20" s="46"/>
    </row>
    <row r="21" spans="1:3" ht="15">
      <c r="A21" s="44"/>
      <c r="B21" s="45"/>
      <c r="C21" s="46"/>
    </row>
    <row r="22" spans="1:3" ht="15">
      <c r="A22" s="44"/>
      <c r="B22" s="45"/>
      <c r="C22" s="46"/>
    </row>
    <row r="23" spans="1:3" ht="15">
      <c r="A23" s="44"/>
      <c r="B23" s="45"/>
      <c r="C23" s="46"/>
    </row>
    <row r="24" spans="1:3" ht="15">
      <c r="A24" s="44"/>
      <c r="B24" s="45"/>
      <c r="C24" s="46"/>
    </row>
    <row r="25" spans="1:3" ht="15">
      <c r="A25" s="44"/>
      <c r="B25" s="45"/>
      <c r="C25" s="46"/>
    </row>
    <row r="26" spans="1:3" ht="15">
      <c r="A26" s="28" t="s">
        <v>138</v>
      </c>
      <c r="C26" s="47" t="s">
        <v>115</v>
      </c>
    </row>
    <row r="28" spans="2:3" ht="15">
      <c r="B28" s="28" t="s">
        <v>143</v>
      </c>
      <c r="C28" s="108">
        <v>1531.99</v>
      </c>
    </row>
    <row r="29" spans="3:5" ht="15.75">
      <c r="C29" s="109">
        <f>C19/C28*100</f>
        <v>127.35135346836468</v>
      </c>
      <c r="E29" s="129"/>
    </row>
    <row r="30" ht="15.75"/>
    <row r="31" ht="15">
      <c r="E31" s="129"/>
    </row>
    <row r="32" ht="15">
      <c r="E32" s="131"/>
    </row>
    <row r="33" spans="3:5" ht="15">
      <c r="C33" s="28">
        <f>(C17+'Проверка ТУ'!C17+'Факт.действ.'!C17)*43</f>
        <v>157795.81</v>
      </c>
      <c r="E33" s="129"/>
    </row>
    <row r="35" ht="15">
      <c r="C35" s="129"/>
    </row>
  </sheetData>
  <sheetProtection/>
  <mergeCells count="15">
    <mergeCell ref="P8:P10"/>
    <mergeCell ref="Q8:Q10"/>
    <mergeCell ref="R8:R10"/>
    <mergeCell ref="S8:S10"/>
    <mergeCell ref="J9:K9"/>
    <mergeCell ref="L9:L10"/>
    <mergeCell ref="M9:N9"/>
    <mergeCell ref="O9:O10"/>
    <mergeCell ref="F8:F10"/>
    <mergeCell ref="G8:G10"/>
    <mergeCell ref="H8:H10"/>
    <mergeCell ref="I8:I10"/>
    <mergeCell ref="J8:O8"/>
    <mergeCell ref="A6:C6"/>
    <mergeCell ref="E8:E1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2"/>
  <colBreaks count="1" manualBreakCount="1">
    <brk id="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T29"/>
  <sheetViews>
    <sheetView view="pageBreakPreview" zoomScale="90" zoomScaleNormal="90" zoomScaleSheetLayoutView="90" zoomScalePageLayoutView="0" workbookViewId="0" topLeftCell="A6">
      <selection activeCell="D16" sqref="D16"/>
    </sheetView>
  </sheetViews>
  <sheetFormatPr defaultColWidth="5.57421875" defaultRowHeight="15" outlineLevelCol="1"/>
  <cols>
    <col min="1" max="1" width="5.57421875" style="28" customWidth="1"/>
    <col min="2" max="2" width="47.7109375" style="28" customWidth="1"/>
    <col min="3" max="3" width="35.421875" style="28" customWidth="1"/>
    <col min="4" max="4" width="9.140625" style="28" customWidth="1"/>
    <col min="5" max="5" width="20.7109375" style="28" customWidth="1" outlineLevel="1"/>
    <col min="6" max="6" width="4.7109375" style="28" customWidth="1" outlineLevel="1"/>
    <col min="7" max="7" width="5.421875" style="28" customWidth="1" outlineLevel="1"/>
    <col min="8" max="8" width="7.57421875" style="28" customWidth="1" outlineLevel="1"/>
    <col min="9" max="9" width="10.140625" style="28" customWidth="1" outlineLevel="1"/>
    <col min="10" max="10" width="5.57421875" style="28" customWidth="1" outlineLevel="1"/>
    <col min="11" max="12" width="8.140625" style="28" customWidth="1" outlineLevel="1"/>
    <col min="13" max="13" width="5.28125" style="28" customWidth="1" outlineLevel="1"/>
    <col min="14" max="14" width="9.7109375" style="28" customWidth="1" outlineLevel="1"/>
    <col min="15" max="16" width="10.7109375" style="30" customWidth="1" outlineLevel="1"/>
    <col min="17" max="17" width="8.7109375" style="30" customWidth="1" outlineLevel="1"/>
    <col min="18" max="18" width="14.28125" style="30" customWidth="1" outlineLevel="1"/>
    <col min="19" max="19" width="10.421875" style="30" customWidth="1" outlineLevel="1"/>
    <col min="20" max="20" width="9.140625" style="31" customWidth="1"/>
    <col min="21" max="255" width="8.8515625" style="31" customWidth="1"/>
    <col min="256" max="16384" width="5.57421875" style="31" customWidth="1"/>
  </cols>
  <sheetData>
    <row r="1" spans="3:18" ht="20.25" customHeight="1">
      <c r="C1" s="29" t="s">
        <v>84</v>
      </c>
      <c r="P1" s="103" t="s">
        <v>84</v>
      </c>
      <c r="Q1" s="104"/>
      <c r="R1" s="104"/>
    </row>
    <row r="2" spans="3:18" ht="19.5" customHeight="1">
      <c r="C2" s="29" t="s">
        <v>85</v>
      </c>
      <c r="P2" s="103" t="s">
        <v>85</v>
      </c>
      <c r="Q2" s="104"/>
      <c r="R2" s="104"/>
    </row>
    <row r="3" spans="3:18" ht="26.25" customHeight="1">
      <c r="C3" s="103" t="s">
        <v>160</v>
      </c>
      <c r="P3" s="103" t="s">
        <v>160</v>
      </c>
      <c r="R3" s="104"/>
    </row>
    <row r="4" spans="16:18" ht="21.75" customHeight="1">
      <c r="P4" s="103" t="s">
        <v>159</v>
      </c>
      <c r="R4" s="104"/>
    </row>
    <row r="5" ht="36" customHeight="1"/>
    <row r="6" spans="1:18" ht="39" customHeight="1">
      <c r="A6" s="221" t="s">
        <v>164</v>
      </c>
      <c r="B6" s="221"/>
      <c r="C6" s="221"/>
      <c r="J6" s="84" t="s">
        <v>158</v>
      </c>
      <c r="K6" s="84"/>
      <c r="L6" s="84"/>
      <c r="M6" s="84"/>
      <c r="N6" s="84"/>
      <c r="O6" s="84"/>
      <c r="P6" s="84"/>
      <c r="Q6" s="84"/>
      <c r="R6" s="84"/>
    </row>
    <row r="7" spans="10:18" ht="15.75" customHeight="1">
      <c r="J7" s="84"/>
      <c r="K7" s="84"/>
      <c r="L7" s="84"/>
      <c r="M7" s="84"/>
      <c r="N7" s="84"/>
      <c r="O7" s="84"/>
      <c r="P7" s="84"/>
      <c r="Q7" s="84"/>
      <c r="R7" s="84"/>
    </row>
    <row r="8" spans="5:19" ht="15.75" customHeight="1">
      <c r="E8" s="222" t="s">
        <v>86</v>
      </c>
      <c r="F8" s="210" t="s">
        <v>87</v>
      </c>
      <c r="G8" s="212" t="s">
        <v>88</v>
      </c>
      <c r="H8" s="214" t="s">
        <v>89</v>
      </c>
      <c r="I8" s="216" t="s">
        <v>90</v>
      </c>
      <c r="J8" s="218" t="s">
        <v>91</v>
      </c>
      <c r="K8" s="219"/>
      <c r="L8" s="219"/>
      <c r="M8" s="219"/>
      <c r="N8" s="219"/>
      <c r="O8" s="220"/>
      <c r="P8" s="236" t="s">
        <v>92</v>
      </c>
      <c r="Q8" s="226" t="s">
        <v>93</v>
      </c>
      <c r="R8" s="226" t="s">
        <v>116</v>
      </c>
      <c r="S8" s="226" t="s">
        <v>94</v>
      </c>
    </row>
    <row r="9" spans="1:19" ht="33" customHeight="1">
      <c r="A9" s="32" t="s">
        <v>4</v>
      </c>
      <c r="B9" s="32" t="s">
        <v>105</v>
      </c>
      <c r="C9" s="32" t="s">
        <v>106</v>
      </c>
      <c r="E9" s="223"/>
      <c r="F9" s="211"/>
      <c r="G9" s="213"/>
      <c r="H9" s="215"/>
      <c r="I9" s="217"/>
      <c r="J9" s="218" t="s">
        <v>95</v>
      </c>
      <c r="K9" s="220"/>
      <c r="L9" s="216" t="s">
        <v>96</v>
      </c>
      <c r="M9" s="228" t="s">
        <v>97</v>
      </c>
      <c r="N9" s="229"/>
      <c r="O9" s="216" t="s">
        <v>98</v>
      </c>
      <c r="P9" s="237"/>
      <c r="Q9" s="227"/>
      <c r="R9" s="227"/>
      <c r="S9" s="227"/>
    </row>
    <row r="10" spans="1:19" ht="30.75">
      <c r="A10" s="33">
        <v>1</v>
      </c>
      <c r="B10" s="34" t="s">
        <v>107</v>
      </c>
      <c r="C10" s="35">
        <f>ROUND(S12,2)</f>
        <v>267.05</v>
      </c>
      <c r="E10" s="234"/>
      <c r="F10" s="233"/>
      <c r="G10" s="232"/>
      <c r="H10" s="231"/>
      <c r="I10" s="230"/>
      <c r="J10" s="85" t="s">
        <v>99</v>
      </c>
      <c r="K10" s="86" t="s">
        <v>100</v>
      </c>
      <c r="L10" s="239"/>
      <c r="M10" s="87" t="s">
        <v>101</v>
      </c>
      <c r="N10" s="88" t="s">
        <v>102</v>
      </c>
      <c r="O10" s="239"/>
      <c r="P10" s="238"/>
      <c r="Q10" s="235"/>
      <c r="R10" s="235"/>
      <c r="S10" s="235"/>
    </row>
    <row r="11" spans="1:19" ht="15">
      <c r="A11" s="33">
        <v>2</v>
      </c>
      <c r="B11" s="34" t="s">
        <v>109</v>
      </c>
      <c r="C11" s="35">
        <f>ROUND(C10*0.3,2)</f>
        <v>80.12</v>
      </c>
      <c r="E11" s="89" t="s">
        <v>104</v>
      </c>
      <c r="F11" s="96">
        <v>12</v>
      </c>
      <c r="G11" s="96">
        <v>1</v>
      </c>
      <c r="H11" s="97">
        <v>2.535</v>
      </c>
      <c r="I11" s="92">
        <f>((5327*1.064*1.25*H11)+(5668*1.064*1.25*H11))/2</f>
        <v>18535.096125000004</v>
      </c>
      <c r="J11" s="98"/>
      <c r="K11" s="98"/>
      <c r="L11" s="98"/>
      <c r="M11" s="98">
        <v>11.1</v>
      </c>
      <c r="N11" s="101">
        <f>(I11+K11+L11)*M11/100</f>
        <v>2057.3956698750003</v>
      </c>
      <c r="O11" s="101">
        <f>(I11+K11+L11+N11)*0.6</f>
        <v>12355.495076925003</v>
      </c>
      <c r="P11" s="101">
        <f>I11+K11+L11+O11+N11</f>
        <v>32947.98687180001</v>
      </c>
      <c r="Q11" s="94">
        <f>ROUND(P11/164.5,2)</f>
        <v>200.29</v>
      </c>
      <c r="R11" s="94">
        <f>80/60</f>
        <v>1.3333333333333333</v>
      </c>
      <c r="S11" s="95">
        <f>ROUND(Q11*R11,2)</f>
        <v>267.05</v>
      </c>
    </row>
    <row r="12" spans="1:19" ht="15">
      <c r="A12" s="33">
        <v>3</v>
      </c>
      <c r="B12" s="34" t="s">
        <v>110</v>
      </c>
      <c r="C12" s="35">
        <f>ROUND(C10*0.002,2)</f>
        <v>0.53</v>
      </c>
      <c r="E12" s="89" t="s">
        <v>108</v>
      </c>
      <c r="F12" s="100"/>
      <c r="G12" s="96"/>
      <c r="H12" s="97"/>
      <c r="I12" s="92"/>
      <c r="J12" s="101"/>
      <c r="K12" s="99"/>
      <c r="L12" s="99"/>
      <c r="M12" s="102"/>
      <c r="N12" s="99"/>
      <c r="O12" s="99"/>
      <c r="P12" s="99"/>
      <c r="Q12" s="94"/>
      <c r="R12" s="94">
        <f>SUM(R11:R11)</f>
        <v>1.3333333333333333</v>
      </c>
      <c r="S12" s="95">
        <f>SUM(S11:S11)</f>
        <v>267.05</v>
      </c>
    </row>
    <row r="13" spans="1:20" ht="15">
      <c r="A13" s="33">
        <v>4</v>
      </c>
      <c r="B13" s="34" t="s">
        <v>111</v>
      </c>
      <c r="C13" s="35">
        <f>ROUND(C10*0.6377,2)</f>
        <v>170.3</v>
      </c>
      <c r="R13" s="31"/>
      <c r="S13" s="31"/>
      <c r="T13" s="40"/>
    </row>
    <row r="14" spans="1:20" ht="15">
      <c r="A14" s="33">
        <v>5</v>
      </c>
      <c r="B14" s="34" t="s">
        <v>168</v>
      </c>
      <c r="C14" s="35">
        <f>944.92/60*30</f>
        <v>472.46</v>
      </c>
      <c r="R14" s="31"/>
      <c r="S14" s="31"/>
      <c r="T14" s="40"/>
    </row>
    <row r="15" spans="1:20" ht="15">
      <c r="A15" s="33">
        <v>6</v>
      </c>
      <c r="B15" s="34" t="s">
        <v>112</v>
      </c>
      <c r="C15" s="35">
        <f>ROUND(SUM(C10:C14),2)</f>
        <v>990.46</v>
      </c>
      <c r="R15" s="36"/>
      <c r="T15" s="40"/>
    </row>
    <row r="16" spans="1:20" ht="15">
      <c r="A16" s="33">
        <v>7</v>
      </c>
      <c r="B16" s="34" t="s">
        <v>122</v>
      </c>
      <c r="C16" s="35">
        <f>ROUND(C15*0.05,2)</f>
        <v>49.52</v>
      </c>
      <c r="N16" s="37"/>
      <c r="O16" s="38"/>
      <c r="P16" s="38"/>
      <c r="Q16" s="39"/>
      <c r="R16" s="38"/>
      <c r="S16" s="39"/>
      <c r="T16" s="40"/>
    </row>
    <row r="17" spans="1:19" ht="15">
      <c r="A17" s="33">
        <v>8</v>
      </c>
      <c r="B17" s="34" t="s">
        <v>123</v>
      </c>
      <c r="C17" s="35">
        <f>C15+C16</f>
        <v>1039.98</v>
      </c>
      <c r="E17" s="28" t="s">
        <v>138</v>
      </c>
      <c r="G17" s="105"/>
      <c r="H17" s="106"/>
      <c r="K17" s="106"/>
      <c r="N17" s="37"/>
      <c r="O17" s="41"/>
      <c r="P17" s="41"/>
      <c r="Q17" s="47" t="s">
        <v>115</v>
      </c>
      <c r="R17" s="41"/>
      <c r="S17" s="41"/>
    </row>
    <row r="18" spans="1:19" ht="15">
      <c r="A18" s="33">
        <v>9</v>
      </c>
      <c r="B18" s="34" t="s">
        <v>113</v>
      </c>
      <c r="C18" s="35">
        <f>ROUND(C17*0.18,2)</f>
        <v>187.2</v>
      </c>
      <c r="N18" s="37"/>
      <c r="O18" s="41"/>
      <c r="P18" s="41"/>
      <c r="Q18" s="41"/>
      <c r="R18" s="41"/>
      <c r="S18" s="41"/>
    </row>
    <row r="19" spans="1:3" ht="15">
      <c r="A19" s="33">
        <v>10</v>
      </c>
      <c r="B19" s="42" t="s">
        <v>114</v>
      </c>
      <c r="C19" s="43">
        <f>C17+C18</f>
        <v>1227.18</v>
      </c>
    </row>
    <row r="20" spans="1:3" ht="15">
      <c r="A20" s="44"/>
      <c r="B20" s="45"/>
      <c r="C20" s="46"/>
    </row>
    <row r="21" spans="1:3" ht="15">
      <c r="A21" s="44"/>
      <c r="B21" s="45"/>
      <c r="C21" s="46"/>
    </row>
    <row r="22" spans="1:3" ht="15">
      <c r="A22" s="44"/>
      <c r="B22" s="45"/>
      <c r="C22" s="46"/>
    </row>
    <row r="23" spans="1:3" ht="15">
      <c r="A23" s="44"/>
      <c r="B23" s="45"/>
      <c r="C23" s="46"/>
    </row>
    <row r="24" spans="1:3" ht="15">
      <c r="A24" s="44"/>
      <c r="B24" s="45"/>
      <c r="C24" s="46"/>
    </row>
    <row r="25" spans="1:3" ht="15">
      <c r="A25" s="44"/>
      <c r="B25" s="45"/>
      <c r="C25" s="46"/>
    </row>
    <row r="26" spans="1:3" ht="15">
      <c r="A26" s="28" t="s">
        <v>138</v>
      </c>
      <c r="C26" s="47" t="s">
        <v>115</v>
      </c>
    </row>
    <row r="28" ht="15">
      <c r="C28" s="28">
        <v>604.16</v>
      </c>
    </row>
    <row r="29" ht="15.75">
      <c r="C29" s="107">
        <f>C19/C28*100</f>
        <v>203.12168961864407</v>
      </c>
    </row>
  </sheetData>
  <sheetProtection/>
  <mergeCells count="15">
    <mergeCell ref="S8:S10"/>
    <mergeCell ref="R8:R10"/>
    <mergeCell ref="Q8:Q10"/>
    <mergeCell ref="P8:P10"/>
    <mergeCell ref="J8:O8"/>
    <mergeCell ref="O9:O10"/>
    <mergeCell ref="M9:N9"/>
    <mergeCell ref="L9:L10"/>
    <mergeCell ref="J9:K9"/>
    <mergeCell ref="I8:I10"/>
    <mergeCell ref="H8:H10"/>
    <mergeCell ref="G8:G10"/>
    <mergeCell ref="F8:F10"/>
    <mergeCell ref="E8:E10"/>
    <mergeCell ref="A6:C6"/>
  </mergeCells>
  <printOptions horizontalCentered="1"/>
  <pageMargins left="0.7874015748031497" right="0.1968503937007874" top="0.7874015748031497" bottom="0.7874015748031497" header="0.5118110236220472" footer="0.5118110236220472"/>
  <pageSetup horizontalDpi="600" verticalDpi="600" orientation="landscape" paperSize="9" scale="95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33"/>
  <sheetViews>
    <sheetView view="pageBreakPreview" zoomScale="90" zoomScaleNormal="90" zoomScaleSheetLayoutView="90" zoomScalePageLayoutView="0" workbookViewId="0" topLeftCell="A4">
      <selection activeCell="A6" sqref="A6:C6"/>
    </sheetView>
  </sheetViews>
  <sheetFormatPr defaultColWidth="47.7109375" defaultRowHeight="15" outlineLevelCol="1"/>
  <cols>
    <col min="1" max="1" width="5.57421875" style="28" customWidth="1"/>
    <col min="2" max="2" width="47.7109375" style="28" customWidth="1"/>
    <col min="3" max="3" width="35.421875" style="28" customWidth="1"/>
    <col min="4" max="4" width="23.57421875" style="28" customWidth="1" outlineLevel="1"/>
    <col min="5" max="5" width="4.7109375" style="28" customWidth="1" outlineLevel="1"/>
    <col min="6" max="6" width="5.421875" style="28" customWidth="1" outlineLevel="1"/>
    <col min="7" max="7" width="7.57421875" style="28" customWidth="1" outlineLevel="1"/>
    <col min="8" max="8" width="10.140625" style="28" customWidth="1" outlineLevel="1"/>
    <col min="9" max="9" width="4.7109375" style="28" customWidth="1" outlineLevel="1"/>
    <col min="10" max="11" width="8.140625" style="28" customWidth="1" outlineLevel="1"/>
    <col min="12" max="12" width="5.28125" style="28" customWidth="1" outlineLevel="1"/>
    <col min="13" max="13" width="9.7109375" style="28" customWidth="1" outlineLevel="1"/>
    <col min="14" max="14" width="9.7109375" style="30" customWidth="1" outlineLevel="1"/>
    <col min="15" max="15" width="10.7109375" style="30" customWidth="1" outlineLevel="1"/>
    <col min="16" max="16" width="10.8515625" style="30" customWidth="1" outlineLevel="1"/>
    <col min="17" max="17" width="11.28125" style="30" customWidth="1" outlineLevel="1"/>
    <col min="18" max="18" width="10.28125" style="30" customWidth="1" outlineLevel="1"/>
    <col min="19" max="19" width="9.140625" style="31" customWidth="1"/>
    <col min="20" max="254" width="8.8515625" style="31" customWidth="1"/>
    <col min="255" max="255" width="5.57421875" style="31" customWidth="1"/>
    <col min="256" max="16384" width="47.7109375" style="31" customWidth="1"/>
  </cols>
  <sheetData>
    <row r="1" spans="3:17" ht="21" customHeight="1">
      <c r="C1" s="29" t="s">
        <v>84</v>
      </c>
      <c r="O1" s="103" t="s">
        <v>84</v>
      </c>
      <c r="P1" s="104"/>
      <c r="Q1" s="104"/>
    </row>
    <row r="2" spans="3:17" ht="20.25" customHeight="1">
      <c r="C2" s="29" t="s">
        <v>85</v>
      </c>
      <c r="O2" s="103" t="s">
        <v>85</v>
      </c>
      <c r="P2" s="104"/>
      <c r="Q2" s="104"/>
    </row>
    <row r="3" spans="3:17" ht="26.25" customHeight="1">
      <c r="C3" s="103" t="s">
        <v>160</v>
      </c>
      <c r="O3" s="103" t="s">
        <v>160</v>
      </c>
      <c r="Q3" s="104"/>
    </row>
    <row r="4" spans="15:17" ht="21.75" customHeight="1">
      <c r="O4" s="103" t="s">
        <v>159</v>
      </c>
      <c r="Q4" s="104"/>
    </row>
    <row r="5" ht="36" customHeight="1"/>
    <row r="6" spans="1:18" ht="39" customHeight="1">
      <c r="A6" s="221" t="s">
        <v>165</v>
      </c>
      <c r="B6" s="221"/>
      <c r="C6" s="221"/>
      <c r="D6" s="240" t="s">
        <v>158</v>
      </c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</row>
    <row r="7" spans="4:18" ht="15.75" customHeight="1">
      <c r="D7" s="222" t="s">
        <v>86</v>
      </c>
      <c r="E7" s="210" t="s">
        <v>87</v>
      </c>
      <c r="F7" s="212" t="s">
        <v>88</v>
      </c>
      <c r="G7" s="214" t="s">
        <v>89</v>
      </c>
      <c r="H7" s="216" t="s">
        <v>90</v>
      </c>
      <c r="I7" s="218" t="s">
        <v>91</v>
      </c>
      <c r="J7" s="219"/>
      <c r="K7" s="219"/>
      <c r="L7" s="219"/>
      <c r="M7" s="219"/>
      <c r="N7" s="220"/>
      <c r="O7" s="224" t="s">
        <v>92</v>
      </c>
      <c r="P7" s="226" t="s">
        <v>93</v>
      </c>
      <c r="Q7" s="226" t="s">
        <v>116</v>
      </c>
      <c r="R7" s="226" t="s">
        <v>94</v>
      </c>
    </row>
    <row r="8" spans="4:18" ht="15.75" customHeight="1">
      <c r="D8" s="223"/>
      <c r="E8" s="211"/>
      <c r="F8" s="213"/>
      <c r="G8" s="215"/>
      <c r="H8" s="217"/>
      <c r="I8" s="218" t="s">
        <v>166</v>
      </c>
      <c r="J8" s="220"/>
      <c r="K8" s="216" t="s">
        <v>96</v>
      </c>
      <c r="L8" s="228" t="s">
        <v>97</v>
      </c>
      <c r="M8" s="229"/>
      <c r="N8" s="216" t="s">
        <v>98</v>
      </c>
      <c r="O8" s="225"/>
      <c r="P8" s="227"/>
      <c r="Q8" s="227"/>
      <c r="R8" s="227"/>
    </row>
    <row r="9" spans="1:18" ht="42.75" customHeight="1">
      <c r="A9" s="32" t="s">
        <v>4</v>
      </c>
      <c r="B9" s="32" t="s">
        <v>105</v>
      </c>
      <c r="C9" s="32" t="s">
        <v>106</v>
      </c>
      <c r="D9" s="223"/>
      <c r="E9" s="211"/>
      <c r="F9" s="213"/>
      <c r="G9" s="215"/>
      <c r="H9" s="217"/>
      <c r="I9" s="85" t="s">
        <v>99</v>
      </c>
      <c r="J9" s="86" t="s">
        <v>100</v>
      </c>
      <c r="K9" s="217"/>
      <c r="L9" s="87" t="s">
        <v>101</v>
      </c>
      <c r="M9" s="88" t="s">
        <v>102</v>
      </c>
      <c r="N9" s="217"/>
      <c r="O9" s="225"/>
      <c r="P9" s="227"/>
      <c r="Q9" s="227"/>
      <c r="R9" s="227"/>
    </row>
    <row r="10" spans="1:18" ht="15">
      <c r="A10" s="33">
        <v>1</v>
      </c>
      <c r="B10" s="34" t="s">
        <v>107</v>
      </c>
      <c r="C10" s="35">
        <f>ROUND(R11,2)</f>
        <v>235.78</v>
      </c>
      <c r="D10" s="89" t="s">
        <v>103</v>
      </c>
      <c r="E10" s="90">
        <v>9</v>
      </c>
      <c r="F10" s="90">
        <v>1</v>
      </c>
      <c r="G10" s="91">
        <v>1.866</v>
      </c>
      <c r="H10" s="92">
        <f>((5327*1.064*1.25*G10)+(5668*1.064*1.25*G10))/2</f>
        <v>13643.585550000002</v>
      </c>
      <c r="I10" s="93">
        <v>10</v>
      </c>
      <c r="J10" s="93">
        <f>H10*0.1</f>
        <v>1364.3585550000003</v>
      </c>
      <c r="K10" s="93"/>
      <c r="L10" s="93">
        <v>6.5</v>
      </c>
      <c r="M10" s="92">
        <f>(H10+J10+K10)*L10/100</f>
        <v>975.5163668250002</v>
      </c>
      <c r="N10" s="92">
        <f>(H10+J10+K10+M10)*0.6</f>
        <v>9590.076283095</v>
      </c>
      <c r="O10" s="92">
        <f>H10+J10+K10+N10+M10</f>
        <v>25573.536754920002</v>
      </c>
      <c r="P10" s="94">
        <f>ROUND(O10/164.5,2)</f>
        <v>155.46</v>
      </c>
      <c r="Q10" s="94">
        <f>(30+1+30+30)/60</f>
        <v>1.5166666666666666</v>
      </c>
      <c r="R10" s="95">
        <f>ROUND(P10*Q10,2)</f>
        <v>235.78</v>
      </c>
    </row>
    <row r="11" spans="1:18" ht="15">
      <c r="A11" s="33">
        <v>2</v>
      </c>
      <c r="B11" s="34" t="s">
        <v>109</v>
      </c>
      <c r="C11" s="35">
        <f>ROUND(C10*0.3,2)</f>
        <v>70.73</v>
      </c>
      <c r="D11" s="89" t="s">
        <v>108</v>
      </c>
      <c r="E11" s="100"/>
      <c r="F11" s="96"/>
      <c r="G11" s="97"/>
      <c r="H11" s="92"/>
      <c r="I11" s="101"/>
      <c r="J11" s="99"/>
      <c r="K11" s="99"/>
      <c r="L11" s="102"/>
      <c r="M11" s="99"/>
      <c r="N11" s="99"/>
      <c r="O11" s="99"/>
      <c r="P11" s="94"/>
      <c r="Q11" s="94">
        <f>SUM(Q10:Q10)</f>
        <v>1.5166666666666666</v>
      </c>
      <c r="R11" s="95">
        <f>SUM(R10:R10)</f>
        <v>235.78</v>
      </c>
    </row>
    <row r="12" spans="1:18" ht="15">
      <c r="A12" s="33">
        <v>3</v>
      </c>
      <c r="B12" s="34" t="s">
        <v>110</v>
      </c>
      <c r="C12" s="35">
        <f>ROUND(C10*0.002,2)</f>
        <v>0.47</v>
      </c>
      <c r="Q12" s="31"/>
      <c r="R12" s="31"/>
    </row>
    <row r="13" spans="1:19" ht="15">
      <c r="A13" s="33">
        <v>4</v>
      </c>
      <c r="B13" s="34" t="s">
        <v>111</v>
      </c>
      <c r="C13" s="35">
        <f>ROUND(C10*0.6377,2)</f>
        <v>150.36</v>
      </c>
      <c r="Q13" s="36"/>
      <c r="S13" s="40"/>
    </row>
    <row r="14" spans="1:19" ht="15">
      <c r="A14" s="33">
        <v>5</v>
      </c>
      <c r="B14" s="34" t="s">
        <v>168</v>
      </c>
      <c r="C14" s="35">
        <f>944.92/60*30</f>
        <v>472.46</v>
      </c>
      <c r="Q14" s="36"/>
      <c r="S14" s="40"/>
    </row>
    <row r="15" spans="1:19" ht="15">
      <c r="A15" s="33">
        <v>6</v>
      </c>
      <c r="B15" s="34" t="s">
        <v>112</v>
      </c>
      <c r="C15" s="35">
        <f>ROUND(SUM(C10:C14),2)</f>
        <v>929.8</v>
      </c>
      <c r="M15" s="37"/>
      <c r="N15" s="38"/>
      <c r="O15" s="38"/>
      <c r="P15" s="39"/>
      <c r="Q15" s="38"/>
      <c r="R15" s="39"/>
      <c r="S15" s="40"/>
    </row>
    <row r="16" spans="1:19" ht="15">
      <c r="A16" s="33">
        <v>7</v>
      </c>
      <c r="B16" s="34" t="s">
        <v>122</v>
      </c>
      <c r="C16" s="35">
        <f>ROUND(C15*0.05,2)</f>
        <v>46.49</v>
      </c>
      <c r="D16" s="28" t="s">
        <v>138</v>
      </c>
      <c r="F16" s="105"/>
      <c r="G16" s="106"/>
      <c r="J16" s="106"/>
      <c r="M16" s="37"/>
      <c r="N16" s="41"/>
      <c r="O16" s="41"/>
      <c r="P16" s="47" t="s">
        <v>115</v>
      </c>
      <c r="Q16" s="41"/>
      <c r="R16" s="41"/>
      <c r="S16" s="40"/>
    </row>
    <row r="17" spans="1:18" ht="15">
      <c r="A17" s="33">
        <v>8</v>
      </c>
      <c r="B17" s="34" t="s">
        <v>123</v>
      </c>
      <c r="C17" s="35">
        <f>C15+C16</f>
        <v>976.29</v>
      </c>
      <c r="M17" s="37"/>
      <c r="N17" s="41"/>
      <c r="O17" s="41"/>
      <c r="P17" s="41"/>
      <c r="Q17" s="41"/>
      <c r="R17" s="41"/>
    </row>
    <row r="18" spans="1:3" ht="15">
      <c r="A18" s="33">
        <v>9</v>
      </c>
      <c r="B18" s="34" t="s">
        <v>113</v>
      </c>
      <c r="C18" s="35">
        <f>ROUND(C17*0.18,2)</f>
        <v>175.73</v>
      </c>
    </row>
    <row r="19" spans="1:3" ht="15">
      <c r="A19" s="33">
        <v>10</v>
      </c>
      <c r="B19" s="42" t="s">
        <v>114</v>
      </c>
      <c r="C19" s="43">
        <f>C17+C18</f>
        <v>1152.02</v>
      </c>
    </row>
    <row r="20" spans="1:3" ht="15">
      <c r="A20" s="44"/>
      <c r="B20" s="45"/>
      <c r="C20" s="46"/>
    </row>
    <row r="21" spans="1:3" ht="15">
      <c r="A21" s="44"/>
      <c r="B21" s="45"/>
      <c r="C21" s="46"/>
    </row>
    <row r="22" spans="1:3" ht="15">
      <c r="A22" s="44"/>
      <c r="B22" s="45"/>
      <c r="C22" s="46"/>
    </row>
    <row r="23" spans="1:3" ht="15">
      <c r="A23" s="44"/>
      <c r="B23" s="45"/>
      <c r="C23" s="46"/>
    </row>
    <row r="24" spans="1:3" ht="15">
      <c r="A24" s="44"/>
      <c r="B24" s="45"/>
      <c r="C24" s="46"/>
    </row>
    <row r="25" spans="1:3" ht="15">
      <c r="A25" s="44"/>
      <c r="B25" s="45"/>
      <c r="C25" s="46"/>
    </row>
    <row r="26" spans="1:3" ht="15">
      <c r="A26" s="28" t="s">
        <v>138</v>
      </c>
      <c r="C26" s="47" t="s">
        <v>115</v>
      </c>
    </row>
    <row r="29" ht="15">
      <c r="C29" s="47"/>
    </row>
    <row r="31" ht="15.75"/>
    <row r="32" ht="15.75">
      <c r="C32" s="110">
        <v>484.93</v>
      </c>
    </row>
    <row r="33" ht="15">
      <c r="C33" s="111">
        <f>C19/C32*100</f>
        <v>237.56418452147733</v>
      </c>
    </row>
  </sheetData>
  <sheetProtection/>
  <mergeCells count="16">
    <mergeCell ref="D6:R6"/>
    <mergeCell ref="A6:C6"/>
    <mergeCell ref="O7:O9"/>
    <mergeCell ref="P7:P9"/>
    <mergeCell ref="Q7:Q9"/>
    <mergeCell ref="R7:R9"/>
    <mergeCell ref="I8:J8"/>
    <mergeCell ref="K8:K9"/>
    <mergeCell ref="L8:M8"/>
    <mergeCell ref="N8:N9"/>
    <mergeCell ref="D7:D9"/>
    <mergeCell ref="E7:E9"/>
    <mergeCell ref="F7:F9"/>
    <mergeCell ref="G7:G9"/>
    <mergeCell ref="H7:H9"/>
    <mergeCell ref="I7:N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colBreaks count="1" manualBreakCount="1">
    <brk id="3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5:G27"/>
  <sheetViews>
    <sheetView tabSelected="1" zoomScalePageLayoutView="0" workbookViewId="0" topLeftCell="A10">
      <selection activeCell="C18" sqref="C18"/>
    </sheetView>
  </sheetViews>
  <sheetFormatPr defaultColWidth="9.140625" defaultRowHeight="15"/>
  <cols>
    <col min="1" max="1" width="17.57421875" style="0" customWidth="1"/>
    <col min="3" max="6" width="12.7109375" style="0" customWidth="1"/>
  </cols>
  <sheetData>
    <row r="5" ht="14.25">
      <c r="C5" s="177" t="s">
        <v>177</v>
      </c>
    </row>
    <row r="6" spans="2:5" ht="14.25">
      <c r="B6" s="175">
        <v>2014</v>
      </c>
      <c r="C6" s="171">
        <v>3288.71</v>
      </c>
      <c r="D6" s="175"/>
      <c r="E6" s="171">
        <f>56.72981*1000</f>
        <v>56729.81</v>
      </c>
    </row>
    <row r="7" spans="2:7" ht="14.25">
      <c r="B7" s="176" t="s">
        <v>176</v>
      </c>
      <c r="E7" s="170"/>
      <c r="F7" s="170"/>
      <c r="G7" s="170"/>
    </row>
    <row r="8" spans="2:7" ht="14.25">
      <c r="B8" s="170">
        <v>4.72</v>
      </c>
      <c r="C8" s="170">
        <f>C6*B8</f>
        <v>15522.7112</v>
      </c>
      <c r="D8" s="172">
        <f>C8/C11</f>
        <v>0.25240641711229944</v>
      </c>
      <c r="E8" s="170">
        <f>E6*D8</f>
        <v>14318.968085561495</v>
      </c>
      <c r="F8" s="170"/>
      <c r="G8" s="170"/>
    </row>
    <row r="9" spans="2:7" ht="14.25">
      <c r="B9" s="170">
        <v>5.07</v>
      </c>
      <c r="C9" s="170">
        <f>C6*B9</f>
        <v>16673.759700000002</v>
      </c>
      <c r="D9" s="172">
        <f>C9/C11</f>
        <v>0.27112299465240647</v>
      </c>
      <c r="E9" s="170">
        <f>E6*D9</f>
        <v>15380.755973262034</v>
      </c>
      <c r="F9" s="170"/>
      <c r="G9" s="170"/>
    </row>
    <row r="10" spans="2:7" ht="14.25">
      <c r="B10" s="170">
        <v>8.91</v>
      </c>
      <c r="C10" s="170">
        <f>C6*B10</f>
        <v>29302.4061</v>
      </c>
      <c r="D10" s="172">
        <f>C10/C11</f>
        <v>0.4764705882352941</v>
      </c>
      <c r="E10" s="170">
        <f>E6*D10</f>
        <v>27030.08594117647</v>
      </c>
      <c r="F10" s="170"/>
      <c r="G10" s="170"/>
    </row>
    <row r="11" spans="2:7" ht="14.25">
      <c r="B11" s="171">
        <f>SUM(B8:B10)</f>
        <v>18.7</v>
      </c>
      <c r="C11" s="171">
        <f>SUM(C8:C10)</f>
        <v>61498.877</v>
      </c>
      <c r="D11" s="173">
        <f>SUM(D8:D10)</f>
        <v>1</v>
      </c>
      <c r="E11" s="174">
        <f>SUM(E8:E10)</f>
        <v>56729.81</v>
      </c>
      <c r="F11" s="171"/>
      <c r="G11" s="170"/>
    </row>
    <row r="12" spans="2:7" ht="14.25">
      <c r="B12" s="170"/>
      <c r="C12" s="170"/>
      <c r="D12" s="170"/>
      <c r="E12" s="170"/>
      <c r="F12" s="170"/>
      <c r="G12" s="170"/>
    </row>
    <row r="13" spans="2:7" ht="14.25">
      <c r="B13" s="170"/>
      <c r="C13" s="177" t="s">
        <v>177</v>
      </c>
      <c r="D13" s="170"/>
      <c r="E13" s="170"/>
      <c r="F13" s="170"/>
      <c r="G13" s="170"/>
    </row>
    <row r="14" spans="2:7" ht="14.25">
      <c r="B14" s="175">
        <v>2015</v>
      </c>
      <c r="C14" s="178">
        <v>1508</v>
      </c>
      <c r="D14" s="175"/>
      <c r="E14" s="171">
        <f>18.97585*1000</f>
        <v>18975.850000000002</v>
      </c>
      <c r="F14" s="170">
        <v>9</v>
      </c>
      <c r="G14" s="170"/>
    </row>
    <row r="15" spans="2:7" ht="14.25">
      <c r="B15" s="176" t="s">
        <v>176</v>
      </c>
      <c r="E15" s="170"/>
      <c r="F15" s="170"/>
      <c r="G15" s="170"/>
    </row>
    <row r="16" spans="2:7" ht="14.25">
      <c r="B16" s="170">
        <v>13.34</v>
      </c>
      <c r="C16" s="170">
        <f>C14*B16</f>
        <v>20116.72</v>
      </c>
      <c r="D16" s="172">
        <f>C16/C19</f>
        <v>0.5355279004415898</v>
      </c>
      <c r="E16" s="170">
        <f>E14*D16</f>
        <v>10162.097109594544</v>
      </c>
      <c r="F16" s="170">
        <f>E16/F14</f>
        <v>1129.1219010660604</v>
      </c>
      <c r="G16" s="170"/>
    </row>
    <row r="17" spans="2:7" ht="14.25">
      <c r="B17" s="170">
        <v>4.27</v>
      </c>
      <c r="C17" s="170">
        <f>C14*B17</f>
        <v>6439.159999999999</v>
      </c>
      <c r="D17" s="172">
        <f>C17/C19</f>
        <v>0.17141710156563628</v>
      </c>
      <c r="E17" s="170">
        <f>E14*D17</f>
        <v>3252.7852067442795</v>
      </c>
      <c r="F17" s="170">
        <f>E17/F14</f>
        <v>361.4205785271422</v>
      </c>
      <c r="G17" s="170"/>
    </row>
    <row r="18" spans="2:7" ht="14.25">
      <c r="B18" s="170">
        <v>7.3</v>
      </c>
      <c r="C18" s="170">
        <f>C14*B18</f>
        <v>11008.4</v>
      </c>
      <c r="D18" s="172">
        <f>C18/C19</f>
        <v>0.293054997992774</v>
      </c>
      <c r="E18" s="170">
        <f>E14*D18</f>
        <v>5560.967683661182</v>
      </c>
      <c r="F18" s="170">
        <f>E18/F14</f>
        <v>617.8852981845757</v>
      </c>
      <c r="G18" s="170"/>
    </row>
    <row r="19" spans="2:7" ht="14.25">
      <c r="B19" s="171">
        <f>SUM(B16:B18)</f>
        <v>24.91</v>
      </c>
      <c r="C19" s="171">
        <f>SUM(C16:C18)</f>
        <v>37564.28</v>
      </c>
      <c r="D19" s="173">
        <f>SUM(D16:D18)</f>
        <v>1</v>
      </c>
      <c r="E19" s="174">
        <f>SUM(E16:E18)</f>
        <v>18975.850000000006</v>
      </c>
      <c r="F19" s="170">
        <f>SUM(F16:F18)</f>
        <v>2108.4277777777784</v>
      </c>
      <c r="G19" s="170">
        <f>F19*F14</f>
        <v>18975.850000000006</v>
      </c>
    </row>
    <row r="21" ht="14.25">
      <c r="C21" s="177" t="s">
        <v>177</v>
      </c>
    </row>
    <row r="22" spans="2:5" ht="14.25">
      <c r="B22" s="175">
        <v>2016</v>
      </c>
      <c r="C22" s="171">
        <v>1273.6</v>
      </c>
      <c r="D22" s="175"/>
      <c r="E22" s="171">
        <v>17649.51</v>
      </c>
    </row>
    <row r="23" spans="2:5" ht="14.25">
      <c r="B23" s="176" t="s">
        <v>176</v>
      </c>
      <c r="E23" s="170"/>
    </row>
    <row r="24" spans="2:5" ht="14.25">
      <c r="B24" s="170">
        <v>1.79</v>
      </c>
      <c r="C24" s="170">
        <f>C22*B24</f>
        <v>2279.7439999999997</v>
      </c>
      <c r="D24" s="172">
        <f>C24/C27</f>
        <v>0.3213644524236984</v>
      </c>
      <c r="E24" s="170">
        <f>E22*D24</f>
        <v>5671.925116696588</v>
      </c>
    </row>
    <row r="25" spans="2:5" ht="14.25">
      <c r="B25" s="170">
        <v>1.62</v>
      </c>
      <c r="C25" s="170">
        <f>C22*B25</f>
        <v>2063.232</v>
      </c>
      <c r="D25" s="172">
        <f>C25/C27</f>
        <v>0.2908438061041293</v>
      </c>
      <c r="E25" s="170">
        <f>E22*D25</f>
        <v>5133.25066427289</v>
      </c>
    </row>
    <row r="26" spans="2:5" ht="14.25">
      <c r="B26" s="170">
        <v>2.16</v>
      </c>
      <c r="C26" s="170">
        <f>C22*B26</f>
        <v>2750.976</v>
      </c>
      <c r="D26" s="172">
        <f>C26/C27</f>
        <v>0.3877917414721724</v>
      </c>
      <c r="E26" s="170">
        <f>E22*D26</f>
        <v>6844.33421903052</v>
      </c>
    </row>
    <row r="27" spans="2:5" ht="14.25">
      <c r="B27" s="171">
        <f>SUM(B24:B26)</f>
        <v>5.57</v>
      </c>
      <c r="C27" s="171">
        <f>SUM(C24:C26)</f>
        <v>7093.951999999999</v>
      </c>
      <c r="D27" s="173">
        <f>SUM(D24:D26)</f>
        <v>1</v>
      </c>
      <c r="E27" s="174">
        <f>SUM(E24:E26)</f>
        <v>17649.51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2017-11-07T04:35:10Z</dcterms:modified>
  <cp:category/>
  <cp:version/>
  <cp:contentType/>
  <cp:contentStatus/>
</cp:coreProperties>
</file>